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mc:AlternateContent xmlns:mc="http://schemas.openxmlformats.org/markup-compatibility/2006">
    <mc:Choice Requires="x15">
      <x15ac:absPath xmlns:x15ac="http://schemas.microsoft.com/office/spreadsheetml/2010/11/ac" url="\\lcp.uk.com\lcpdrive\Clients\Baptist Union\Actuarial\FRS 102\"/>
    </mc:Choice>
  </mc:AlternateContent>
  <xr:revisionPtr revIDLastSave="0" documentId="8_{9E00B563-FE7F-41E8-820A-53EA8F417039}" xr6:coauthVersionLast="40" xr6:coauthVersionMax="40" xr10:uidLastSave="{00000000-0000-0000-0000-000000000000}"/>
  <workbookProtection workbookAlgorithmName="SHA-512" workbookHashValue="R4ncL5Cw+uDFsLPw8M/63sKcWyvwV0ZPAXK2u7AIeazd3V1MiegjKUwJVuUkHd5VPhmeb6WV9Y8TOsBzSVI2hQ==" workbookSaltValue="+0JqCeKYG1b4Abi4K140BA==" workbookSpinCount="100000" lockStructure="1"/>
  <bookViews>
    <workbookView xWindow="480" yWindow="375" windowWidth="18195" windowHeight="7530" activeTab="1" xr2:uid="{00000000-000D-0000-FFFF-FFFF00000000}"/>
  </bookViews>
  <sheets>
    <sheet name="Instructions" sheetId="8" r:id="rId1"/>
    <sheet name="Inputs" sheetId="1" r:id="rId2"/>
    <sheet name="Disclosure" sheetId="13" r:id="rId3"/>
    <sheet name="Basis" sheetId="3" state="hidden" r:id="rId4"/>
    <sheet name="Calcs - accounting date" sheetId="2" state="hidden" r:id="rId5"/>
    <sheet name="Calcs - accounting date prev" sheetId="15" state="hidden" r:id="rId6"/>
    <sheet name="Calcs - accounting date prev2" sheetId="16" state="hidden" r:id="rId7"/>
    <sheet name="Yields" sheetId="9" state="hidden" r:id="rId8"/>
    <sheet name="Version history" sheetId="14" state="hidden" r:id="rId9"/>
  </sheets>
  <definedNames>
    <definedName name="Accounting_date">Inputs!$B$6</definedName>
    <definedName name="Accounting_date_prev">Basis!$C$5</definedName>
    <definedName name="Accounting_date_prev2">Basis!$D$5</definedName>
    <definedName name="Current_year_DRCs">Inputs!$C$30</definedName>
    <definedName name="DR">Basis!$B$6</definedName>
    <definedName name="DR_prev">Basis!$C$6</definedName>
    <definedName name="DR_prev2">Basis!$D$6</definedName>
    <definedName name="DR_yields">Yields!$C$5:$C$91</definedName>
    <definedName name="first_month_DRCs">Inputs!$C$14</definedName>
    <definedName name="first_month_prevyr">Inputs!$C$28</definedName>
    <definedName name="first_month_prevyr2">Inputs!$F$28</definedName>
    <definedName name="Inflation">Basis!$B$7</definedName>
    <definedName name="Inflation_prev">Basis!$C$7</definedName>
    <definedName name="Inflation_prev2">Basis!$D$7</definedName>
    <definedName name="Inflation_yields">Yields!$D$5:$D$91</definedName>
    <definedName name="Liability">'Calcs - accounting date'!$J$40</definedName>
    <definedName name="Liability_prev">'Calcs - accounting date prev'!$J$40</definedName>
    <definedName name="Liability_prev2">'Calcs - accounting date prev2'!$J$40</definedName>
    <definedName name="percentage_cont">Inputs!$B$9</definedName>
    <definedName name="Prev_year_DRCs">Inputs!$F$30</definedName>
    <definedName name="_xlnm.Print_Area" localSheetId="4">'Calcs - accounting date'!$C$1:$K$46</definedName>
    <definedName name="_xlnm.Print_Area" localSheetId="5">'Calcs - accounting date prev'!$C$1:$K$46</definedName>
    <definedName name="_xlnm.Print_Area" localSheetId="6">'Calcs - accounting date prev2'!$C$1:$K$46</definedName>
    <definedName name="_xlnm.Print_Area" localSheetId="2">Disclosure!$A$1:$D$63</definedName>
    <definedName name="_xlnm.Print_Area" localSheetId="1">Inputs!$A$1:$H$43</definedName>
    <definedName name="_xlnm.Print_Area" localSheetId="0">Instructions!$A$1:$A$90</definedName>
    <definedName name="Yield_dates">Yields!$B$5:$B$91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2" l="1"/>
  <c r="B9" i="15"/>
  <c r="B9" i="16" l="1"/>
  <c r="E10" i="16" l="1"/>
  <c r="E11" i="16" s="1"/>
  <c r="E10" i="15"/>
  <c r="E11" i="15" s="1"/>
  <c r="D6" i="1" l="1"/>
  <c r="C6" i="1"/>
  <c r="B54" i="13"/>
  <c r="C54" i="13" s="1"/>
  <c r="D54" i="13" s="1"/>
  <c r="A44" i="13"/>
  <c r="B43" i="13"/>
  <c r="B10" i="1"/>
  <c r="C4" i="1"/>
  <c r="G28" i="1"/>
  <c r="G27" i="1"/>
  <c r="G26" i="1"/>
  <c r="G25" i="1"/>
  <c r="G24" i="1"/>
  <c r="G23" i="1"/>
  <c r="G22" i="1"/>
  <c r="G21" i="1"/>
  <c r="G20" i="1"/>
  <c r="G19" i="1"/>
  <c r="G18" i="1"/>
  <c r="G17" i="1"/>
  <c r="D18" i="1"/>
  <c r="D19" i="1"/>
  <c r="D20" i="1"/>
  <c r="D21" i="1"/>
  <c r="D22" i="1"/>
  <c r="D23" i="1"/>
  <c r="D24" i="1"/>
  <c r="D25" i="1"/>
  <c r="D26" i="1"/>
  <c r="D27" i="1"/>
  <c r="D28" i="1"/>
  <c r="D17" i="1"/>
  <c r="D14" i="1"/>
  <c r="B2" i="2"/>
  <c r="F15" i="2" s="1"/>
  <c r="F16" i="2" s="1"/>
  <c r="F17" i="2" s="1"/>
  <c r="E10" i="2"/>
  <c r="E11" i="2" s="1"/>
  <c r="B6" i="9"/>
  <c r="B7" i="9" s="1"/>
  <c r="B33" i="1"/>
  <c r="C33" i="1" s="1"/>
  <c r="B5" i="3"/>
  <c r="C5" i="3" s="1"/>
  <c r="B2" i="15" s="1"/>
  <c r="A15" i="15" s="1"/>
  <c r="A16" i="15" s="1"/>
  <c r="A17" i="15" s="1"/>
  <c r="B1" i="3"/>
  <c r="F30" i="1"/>
  <c r="C30" i="1"/>
  <c r="B14" i="1"/>
  <c r="B17" i="1"/>
  <c r="B18" i="1" s="1"/>
  <c r="B19" i="1" s="1"/>
  <c r="B20" i="1" s="1"/>
  <c r="B21" i="1" s="1"/>
  <c r="B22" i="1" s="1"/>
  <c r="B23" i="1" s="1"/>
  <c r="B24" i="1" s="1"/>
  <c r="B25" i="1" s="1"/>
  <c r="B26" i="1" s="1"/>
  <c r="B27" i="1" s="1"/>
  <c r="B28" i="1" s="1"/>
  <c r="E17" i="1" s="1"/>
  <c r="E18" i="1" s="1"/>
  <c r="E19" i="1" s="1"/>
  <c r="E20" i="1" s="1"/>
  <c r="E21" i="1" s="1"/>
  <c r="E22" i="1" s="1"/>
  <c r="E23" i="1" s="1"/>
  <c r="E24" i="1" s="1"/>
  <c r="E25" i="1" s="1"/>
  <c r="E26" i="1" s="1"/>
  <c r="E27" i="1" s="1"/>
  <c r="E28" i="1" s="1"/>
  <c r="B8" i="9" l="1"/>
  <c r="B9" i="9" s="1"/>
  <c r="B10" i="9" s="1"/>
  <c r="B11" i="9" s="1"/>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D33" i="1"/>
  <c r="E9" i="15"/>
  <c r="B7" i="15"/>
  <c r="B8" i="15" s="1"/>
  <c r="C15" i="15"/>
  <c r="C16" i="15" s="1"/>
  <c r="C17" i="15" s="1"/>
  <c r="C18" i="15" s="1"/>
  <c r="F15" i="15"/>
  <c r="F16" i="15" s="1"/>
  <c r="F17" i="15" s="1"/>
  <c r="F18" i="15" s="1"/>
  <c r="A18" i="15"/>
  <c r="D5" i="3"/>
  <c r="B2" i="16" s="1"/>
  <c r="C43" i="13"/>
  <c r="B3" i="3"/>
  <c r="C15" i="2"/>
  <c r="C16" i="2" s="1"/>
  <c r="C17" i="2" s="1"/>
  <c r="B7" i="2"/>
  <c r="B8" i="2" s="1"/>
  <c r="E9" i="2"/>
  <c r="A15" i="2"/>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F18" i="2"/>
  <c r="B35" i="1" l="1"/>
  <c r="B7" i="3" s="1"/>
  <c r="D35" i="1"/>
  <c r="D7" i="3" s="1"/>
  <c r="C34" i="1"/>
  <c r="C6" i="3" s="1"/>
  <c r="C35" i="1"/>
  <c r="C7" i="3" s="1"/>
  <c r="D34" i="1"/>
  <c r="D6" i="3" s="1"/>
  <c r="E9" i="16"/>
  <c r="C15" i="16"/>
  <c r="C16" i="16" s="1"/>
  <c r="C17" i="16" s="1"/>
  <c r="C18" i="16" s="1"/>
  <c r="C19" i="16" s="1"/>
  <c r="C20" i="16" s="1"/>
  <c r="A15" i="16"/>
  <c r="A16" i="16" s="1"/>
  <c r="A17" i="16" s="1"/>
  <c r="F15" i="16"/>
  <c r="F16" i="16" s="1"/>
  <c r="F17" i="16" s="1"/>
  <c r="B7" i="16"/>
  <c r="B8" i="16" s="1"/>
  <c r="B34" i="1"/>
  <c r="B6" i="3" s="1"/>
  <c r="C19" i="15"/>
  <c r="A19" i="15"/>
  <c r="F19" i="15"/>
  <c r="B45" i="13"/>
  <c r="C45" i="13"/>
  <c r="C18" i="2"/>
  <c r="F19" i="2"/>
  <c r="B55" i="13" l="1"/>
  <c r="B10" i="2"/>
  <c r="I15" i="2" s="1"/>
  <c r="I16" i="2" s="1"/>
  <c r="B10" i="15"/>
  <c r="I15" i="15" s="1"/>
  <c r="I16" i="15" s="1"/>
  <c r="I17" i="15" s="1"/>
  <c r="C55" i="13"/>
  <c r="B11" i="15"/>
  <c r="C56" i="13"/>
  <c r="B11" i="16"/>
  <c r="D56" i="13"/>
  <c r="D55" i="13"/>
  <c r="B10" i="16"/>
  <c r="I15" i="16" s="1"/>
  <c r="B56" i="13"/>
  <c r="B11" i="2"/>
  <c r="A18" i="16"/>
  <c r="F18" i="16"/>
  <c r="I16" i="16"/>
  <c r="I17" i="16" s="1"/>
  <c r="I18" i="16" s="1"/>
  <c r="I19" i="16" s="1"/>
  <c r="C21" i="16"/>
  <c r="F20" i="15"/>
  <c r="C20" i="15"/>
  <c r="A20" i="15"/>
  <c r="I18" i="15"/>
  <c r="C19" i="2"/>
  <c r="C20" i="2" s="1"/>
  <c r="I17" i="2"/>
  <c r="F20" i="2"/>
  <c r="D15" i="2" l="1"/>
  <c r="G15" i="2"/>
  <c r="G16" i="2" s="1"/>
  <c r="G17" i="2" s="1"/>
  <c r="G18" i="2" s="1"/>
  <c r="G19" i="2" s="1"/>
  <c r="B15" i="2"/>
  <c r="B15" i="16"/>
  <c r="B16" i="16" s="1"/>
  <c r="D15" i="16"/>
  <c r="G15" i="16"/>
  <c r="G16" i="16" s="1"/>
  <c r="G17" i="16" s="1"/>
  <c r="D15" i="15"/>
  <c r="G15" i="15"/>
  <c r="G16" i="15" s="1"/>
  <c r="G17" i="15" s="1"/>
  <c r="G18" i="15" s="1"/>
  <c r="B15" i="15"/>
  <c r="B16" i="15" s="1"/>
  <c r="I20" i="16"/>
  <c r="B17" i="16"/>
  <c r="A19" i="16"/>
  <c r="F19" i="16"/>
  <c r="C22" i="16"/>
  <c r="I19" i="15"/>
  <c r="C21" i="15"/>
  <c r="G19" i="15"/>
  <c r="F21" i="15"/>
  <c r="A21" i="15"/>
  <c r="B17" i="15"/>
  <c r="I18" i="2"/>
  <c r="I19" i="2" s="1"/>
  <c r="F21" i="2"/>
  <c r="C21" i="2"/>
  <c r="D16" i="15" l="1"/>
  <c r="E15" i="15"/>
  <c r="H15" i="15"/>
  <c r="J15" i="15" s="1"/>
  <c r="H15" i="2"/>
  <c r="J15" i="2" s="1"/>
  <c r="B16" i="2"/>
  <c r="H15" i="16"/>
  <c r="J15" i="16" s="1"/>
  <c r="E15" i="16"/>
  <c r="D16" i="16"/>
  <c r="E15" i="2"/>
  <c r="D16" i="2"/>
  <c r="F20" i="16"/>
  <c r="G18" i="16"/>
  <c r="I20" i="15"/>
  <c r="A20" i="16"/>
  <c r="B18" i="16"/>
  <c r="C23" i="16"/>
  <c r="I21" i="16"/>
  <c r="G20" i="15"/>
  <c r="F22" i="15"/>
  <c r="B18" i="15"/>
  <c r="A22" i="15"/>
  <c r="C22" i="15"/>
  <c r="I20" i="2"/>
  <c r="G20" i="2"/>
  <c r="F22" i="2"/>
  <c r="C22" i="2"/>
  <c r="H16" i="16" l="1"/>
  <c r="J16" i="16" s="1"/>
  <c r="E16" i="16"/>
  <c r="D17" i="16"/>
  <c r="E16" i="2"/>
  <c r="D17" i="2"/>
  <c r="B17" i="2"/>
  <c r="H16" i="2"/>
  <c r="J16" i="2" s="1"/>
  <c r="E16" i="15"/>
  <c r="H16" i="15"/>
  <c r="J16" i="15" s="1"/>
  <c r="D17" i="15"/>
  <c r="A21" i="16"/>
  <c r="B19" i="16"/>
  <c r="G19" i="16"/>
  <c r="F21" i="16"/>
  <c r="I22" i="16"/>
  <c r="C24" i="16"/>
  <c r="C23" i="15"/>
  <c r="A23" i="15"/>
  <c r="B19" i="15"/>
  <c r="I21" i="15"/>
  <c r="G21" i="15"/>
  <c r="F23" i="15"/>
  <c r="C23" i="2"/>
  <c r="I21" i="2"/>
  <c r="G21" i="2"/>
  <c r="F23" i="2"/>
  <c r="H17" i="15" l="1"/>
  <c r="J17" i="15" s="1"/>
  <c r="E17" i="15"/>
  <c r="D18" i="15"/>
  <c r="B18" i="2"/>
  <c r="H17" i="2"/>
  <c r="J17" i="2" s="1"/>
  <c r="H17" i="16"/>
  <c r="J17" i="16" s="1"/>
  <c r="D18" i="16"/>
  <c r="E17" i="16"/>
  <c r="E17" i="2"/>
  <c r="D18" i="2"/>
  <c r="G20" i="16"/>
  <c r="F22" i="16"/>
  <c r="B20" i="16"/>
  <c r="A22" i="16"/>
  <c r="C25" i="16"/>
  <c r="I23" i="16"/>
  <c r="A24" i="15"/>
  <c r="C24" i="15"/>
  <c r="G22" i="15"/>
  <c r="F24" i="15"/>
  <c r="B20" i="15"/>
  <c r="I22" i="15"/>
  <c r="I22" i="2"/>
  <c r="G22" i="2"/>
  <c r="F24" i="2"/>
  <c r="C24" i="2"/>
  <c r="B19" i="2" l="1"/>
  <c r="H18" i="2"/>
  <c r="J18" i="2" s="1"/>
  <c r="H18" i="16"/>
  <c r="J18" i="16" s="1"/>
  <c r="D19" i="16"/>
  <c r="E18" i="16"/>
  <c r="E18" i="15"/>
  <c r="D19" i="15"/>
  <c r="H18" i="15"/>
  <c r="J18" i="15" s="1"/>
  <c r="D19" i="2"/>
  <c r="E18" i="2"/>
  <c r="F23" i="16"/>
  <c r="G21" i="16"/>
  <c r="B21" i="16"/>
  <c r="A23" i="16"/>
  <c r="I23" i="15"/>
  <c r="C26" i="16"/>
  <c r="I24" i="16"/>
  <c r="G23" i="15"/>
  <c r="F25" i="15"/>
  <c r="B21" i="15"/>
  <c r="C25" i="15"/>
  <c r="A25" i="15"/>
  <c r="C25" i="2"/>
  <c r="G23" i="2"/>
  <c r="F25" i="2"/>
  <c r="I23" i="2"/>
  <c r="E19" i="15" l="1"/>
  <c r="H19" i="15"/>
  <c r="J19" i="15" s="1"/>
  <c r="D20" i="15"/>
  <c r="H19" i="16"/>
  <c r="J19" i="16" s="1"/>
  <c r="D20" i="16"/>
  <c r="E19" i="16"/>
  <c r="D20" i="2"/>
  <c r="E19" i="2"/>
  <c r="H19" i="2"/>
  <c r="J19" i="2" s="1"/>
  <c r="B20" i="2"/>
  <c r="I24" i="15"/>
  <c r="A24" i="16"/>
  <c r="B22" i="16"/>
  <c r="F24" i="16"/>
  <c r="G22" i="16"/>
  <c r="I25" i="16"/>
  <c r="C27" i="16"/>
  <c r="B22" i="15"/>
  <c r="C26" i="15"/>
  <c r="A26" i="15"/>
  <c r="G24" i="15"/>
  <c r="F26" i="15"/>
  <c r="I24" i="2"/>
  <c r="G24" i="2"/>
  <c r="F26" i="2"/>
  <c r="C26" i="2"/>
  <c r="D21" i="2" l="1"/>
  <c r="E20" i="2"/>
  <c r="H20" i="2"/>
  <c r="J20" i="2" s="1"/>
  <c r="B21" i="2"/>
  <c r="D21" i="15"/>
  <c r="H20" i="15"/>
  <c r="J20" i="15" s="1"/>
  <c r="E20" i="15"/>
  <c r="H20" i="16"/>
  <c r="J20" i="16" s="1"/>
  <c r="E20" i="16"/>
  <c r="D21" i="16"/>
  <c r="I25" i="15"/>
  <c r="G23" i="16"/>
  <c r="F25" i="16"/>
  <c r="A25" i="16"/>
  <c r="B23" i="16"/>
  <c r="C28" i="16"/>
  <c r="I26" i="16"/>
  <c r="A27" i="15"/>
  <c r="G25" i="15"/>
  <c r="F27" i="15"/>
  <c r="C27" i="15"/>
  <c r="I26" i="15" s="1"/>
  <c r="B23" i="15"/>
  <c r="G25" i="2"/>
  <c r="F27" i="2"/>
  <c r="C27" i="2"/>
  <c r="I25" i="2"/>
  <c r="H21" i="16" l="1"/>
  <c r="J21" i="16" s="1"/>
  <c r="E21" i="16"/>
  <c r="D22" i="16"/>
  <c r="H21" i="2"/>
  <c r="J21" i="2" s="1"/>
  <c r="B22" i="2"/>
  <c r="H21" i="15"/>
  <c r="J21" i="15" s="1"/>
  <c r="E21" i="15"/>
  <c r="D22" i="15"/>
  <c r="E21" i="2"/>
  <c r="D22" i="2"/>
  <c r="I27" i="16"/>
  <c r="B24" i="16"/>
  <c r="A26" i="16"/>
  <c r="F26" i="16"/>
  <c r="G24" i="16"/>
  <c r="C29" i="16"/>
  <c r="A28" i="15"/>
  <c r="G26" i="15"/>
  <c r="F28" i="15"/>
  <c r="B24" i="15"/>
  <c r="C28" i="15"/>
  <c r="I27" i="15" s="1"/>
  <c r="I26" i="2"/>
  <c r="C28" i="2"/>
  <c r="G26" i="2"/>
  <c r="F28" i="2"/>
  <c r="D23" i="15" l="1"/>
  <c r="H22" i="15"/>
  <c r="J22" i="15" s="1"/>
  <c r="E22" i="15"/>
  <c r="H22" i="16"/>
  <c r="J22" i="16" s="1"/>
  <c r="E22" i="16"/>
  <c r="D23" i="16"/>
  <c r="D23" i="2"/>
  <c r="E22" i="2"/>
  <c r="H22" i="2"/>
  <c r="J22" i="2" s="1"/>
  <c r="B23" i="2"/>
  <c r="F27" i="16"/>
  <c r="G25" i="16"/>
  <c r="B25" i="16"/>
  <c r="A27" i="16"/>
  <c r="C30" i="16"/>
  <c r="I28" i="16"/>
  <c r="B25" i="15"/>
  <c r="G27" i="15"/>
  <c r="F29" i="15"/>
  <c r="C29" i="15"/>
  <c r="I28" i="15" s="1"/>
  <c r="A29" i="15"/>
  <c r="B27" i="15"/>
  <c r="B26" i="2"/>
  <c r="H26" i="2" s="1"/>
  <c r="J26" i="2" s="1"/>
  <c r="C29" i="2"/>
  <c r="I27" i="2"/>
  <c r="G27" i="2"/>
  <c r="F29" i="2"/>
  <c r="E23" i="2" l="1"/>
  <c r="D24" i="2"/>
  <c r="H23" i="2"/>
  <c r="J23" i="2" s="1"/>
  <c r="B24" i="2"/>
  <c r="H23" i="16"/>
  <c r="J23" i="16" s="1"/>
  <c r="E23" i="16"/>
  <c r="D24" i="16"/>
  <c r="D24" i="15"/>
  <c r="E23" i="15"/>
  <c r="H23" i="15"/>
  <c r="J23" i="15" s="1"/>
  <c r="B26" i="16"/>
  <c r="A28" i="16"/>
  <c r="G26" i="16"/>
  <c r="F28" i="16"/>
  <c r="I29" i="16"/>
  <c r="B26" i="15"/>
  <c r="C31" i="16"/>
  <c r="A30" i="15"/>
  <c r="B28" i="15"/>
  <c r="G28" i="15"/>
  <c r="F30" i="15"/>
  <c r="C30" i="15"/>
  <c r="I29" i="15" s="1"/>
  <c r="B27" i="2"/>
  <c r="H27" i="2" s="1"/>
  <c r="J27" i="2" s="1"/>
  <c r="I28" i="2"/>
  <c r="G28" i="2"/>
  <c r="F30" i="2"/>
  <c r="C30" i="2"/>
  <c r="E24" i="2" l="1"/>
  <c r="D25" i="2"/>
  <c r="D25" i="15"/>
  <c r="H24" i="15"/>
  <c r="J24" i="15" s="1"/>
  <c r="E24" i="15"/>
  <c r="H24" i="2"/>
  <c r="J24" i="2" s="1"/>
  <c r="B25" i="2"/>
  <c r="H25" i="2" s="1"/>
  <c r="J25" i="2" s="1"/>
  <c r="H24" i="16"/>
  <c r="J24" i="16" s="1"/>
  <c r="D25" i="16"/>
  <c r="E24" i="16"/>
  <c r="G27" i="16"/>
  <c r="F29" i="16"/>
  <c r="B27" i="16"/>
  <c r="A29" i="16"/>
  <c r="C32" i="16"/>
  <c r="I30" i="16"/>
  <c r="G29" i="15"/>
  <c r="F31" i="15"/>
  <c r="C31" i="15"/>
  <c r="I30" i="15" s="1"/>
  <c r="A31" i="15"/>
  <c r="B29" i="15"/>
  <c r="I29" i="2"/>
  <c r="B28" i="2"/>
  <c r="H28" i="2" s="1"/>
  <c r="J28" i="2" s="1"/>
  <c r="G29" i="2"/>
  <c r="F31" i="2"/>
  <c r="C31" i="2"/>
  <c r="E25" i="2" l="1"/>
  <c r="D26" i="2"/>
  <c r="H25" i="15"/>
  <c r="J25" i="15" s="1"/>
  <c r="E25" i="15"/>
  <c r="D26" i="15"/>
  <c r="H25" i="16"/>
  <c r="J25" i="16" s="1"/>
  <c r="E25" i="16"/>
  <c r="D26" i="16"/>
  <c r="F30" i="16"/>
  <c r="G28" i="16"/>
  <c r="B28" i="16"/>
  <c r="A30" i="16"/>
  <c r="I31" i="16"/>
  <c r="C33" i="16"/>
  <c r="G30" i="15"/>
  <c r="F32" i="15"/>
  <c r="I30" i="2"/>
  <c r="A32" i="15"/>
  <c r="B30" i="15"/>
  <c r="C32" i="15"/>
  <c r="B29" i="2"/>
  <c r="H29" i="2" s="1"/>
  <c r="J29" i="2" s="1"/>
  <c r="C32" i="2"/>
  <c r="G30" i="2"/>
  <c r="F32" i="2"/>
  <c r="H26" i="16" l="1"/>
  <c r="J26" i="16" s="1"/>
  <c r="E26" i="16"/>
  <c r="D27" i="16"/>
  <c r="D27" i="2"/>
  <c r="E26" i="2"/>
  <c r="E26" i="15"/>
  <c r="H26" i="15"/>
  <c r="J26" i="15" s="1"/>
  <c r="D27" i="15"/>
  <c r="A31" i="16"/>
  <c r="B29" i="16"/>
  <c r="F31" i="16"/>
  <c r="G29" i="16"/>
  <c r="C34" i="16"/>
  <c r="I32" i="16"/>
  <c r="C33" i="15"/>
  <c r="G31" i="15"/>
  <c r="F33" i="15"/>
  <c r="A33" i="15"/>
  <c r="B31" i="15"/>
  <c r="I31" i="15"/>
  <c r="B30" i="2"/>
  <c r="H30" i="2" s="1"/>
  <c r="J30" i="2" s="1"/>
  <c r="C33" i="2"/>
  <c r="G31" i="2"/>
  <c r="F33" i="2"/>
  <c r="I31" i="2"/>
  <c r="H27" i="15" l="1"/>
  <c r="J27" i="15" s="1"/>
  <c r="E27" i="15"/>
  <c r="D28" i="15"/>
  <c r="D28" i="2"/>
  <c r="E27" i="2"/>
  <c r="H27" i="16"/>
  <c r="J27" i="16" s="1"/>
  <c r="D28" i="16"/>
  <c r="E27" i="16"/>
  <c r="F32" i="16"/>
  <c r="G30" i="16"/>
  <c r="I32" i="15"/>
  <c r="B30" i="16"/>
  <c r="A32" i="16"/>
  <c r="C35" i="16"/>
  <c r="I33" i="16"/>
  <c r="C34" i="15"/>
  <c r="B32" i="15"/>
  <c r="A34" i="15"/>
  <c r="G32" i="15"/>
  <c r="F34" i="15"/>
  <c r="I32" i="2"/>
  <c r="B31" i="2"/>
  <c r="H31" i="2" s="1"/>
  <c r="J31" i="2" s="1"/>
  <c r="G32" i="2"/>
  <c r="F34" i="2"/>
  <c r="C34" i="2"/>
  <c r="E28" i="2" l="1"/>
  <c r="D29" i="2"/>
  <c r="H28" i="16"/>
  <c r="J28" i="16" s="1"/>
  <c r="E28" i="16"/>
  <c r="D29" i="16"/>
  <c r="H28" i="15"/>
  <c r="J28" i="15" s="1"/>
  <c r="D29" i="15"/>
  <c r="E28" i="15"/>
  <c r="I33" i="15"/>
  <c r="B31" i="16"/>
  <c r="A33" i="16"/>
  <c r="G31" i="16"/>
  <c r="F33" i="16"/>
  <c r="C36" i="16"/>
  <c r="I34" i="16"/>
  <c r="C35" i="15"/>
  <c r="I34" i="15" s="1"/>
  <c r="G33" i="15"/>
  <c r="F35" i="15"/>
  <c r="A35" i="15"/>
  <c r="B33" i="15"/>
  <c r="B32" i="2"/>
  <c r="H32" i="2" s="1"/>
  <c r="J32" i="2" s="1"/>
  <c r="C35" i="2"/>
  <c r="D33" i="2"/>
  <c r="I33" i="2"/>
  <c r="G33" i="2"/>
  <c r="F35" i="2"/>
  <c r="E29" i="2" l="1"/>
  <c r="D30" i="2"/>
  <c r="H29" i="15"/>
  <c r="J29" i="15" s="1"/>
  <c r="E29" i="15"/>
  <c r="D30" i="15"/>
  <c r="H29" i="16"/>
  <c r="J29" i="16" s="1"/>
  <c r="E29" i="16"/>
  <c r="D30" i="16"/>
  <c r="I35" i="16"/>
  <c r="G32" i="16"/>
  <c r="F34" i="16"/>
  <c r="A34" i="16"/>
  <c r="B32" i="16"/>
  <c r="D35" i="16"/>
  <c r="E35" i="16" s="1"/>
  <c r="C37" i="16"/>
  <c r="G34" i="15"/>
  <c r="F36" i="15"/>
  <c r="C36" i="15"/>
  <c r="D34" i="15"/>
  <c r="E34" i="15" s="1"/>
  <c r="B34" i="15"/>
  <c r="H34" i="15" s="1"/>
  <c r="J34" i="15" s="1"/>
  <c r="A36" i="15"/>
  <c r="I35" i="15"/>
  <c r="B33" i="2"/>
  <c r="H33" i="2" s="1"/>
  <c r="J33" i="2" s="1"/>
  <c r="I34" i="2"/>
  <c r="D34" i="2"/>
  <c r="C36" i="2"/>
  <c r="F36" i="2"/>
  <c r="G34" i="2"/>
  <c r="E33" i="2"/>
  <c r="H30" i="16" l="1"/>
  <c r="J30" i="16" s="1"/>
  <c r="E30" i="16"/>
  <c r="D31" i="16"/>
  <c r="D31" i="2"/>
  <c r="E30" i="2"/>
  <c r="I36" i="16"/>
  <c r="H30" i="15"/>
  <c r="J30" i="15" s="1"/>
  <c r="E30" i="15"/>
  <c r="D31" i="15"/>
  <c r="A35" i="16"/>
  <c r="B33" i="16"/>
  <c r="F35" i="16"/>
  <c r="G33" i="16"/>
  <c r="D36" i="16"/>
  <c r="E36" i="16" s="1"/>
  <c r="C38" i="16"/>
  <c r="I37" i="16" s="1"/>
  <c r="D35" i="15"/>
  <c r="E35" i="15" s="1"/>
  <c r="C37" i="15"/>
  <c r="I36" i="15" s="1"/>
  <c r="A37" i="15"/>
  <c r="B35" i="15"/>
  <c r="G35" i="15"/>
  <c r="F37" i="15"/>
  <c r="I35" i="2"/>
  <c r="B34" i="2"/>
  <c r="H34" i="2" s="1"/>
  <c r="J34" i="2" s="1"/>
  <c r="G35" i="2"/>
  <c r="F37" i="2"/>
  <c r="D35" i="2"/>
  <c r="C37" i="2"/>
  <c r="E34" i="2"/>
  <c r="D32" i="2" l="1"/>
  <c r="E32" i="2" s="1"/>
  <c r="E31" i="2"/>
  <c r="H31" i="16"/>
  <c r="J31" i="16" s="1"/>
  <c r="E31" i="16"/>
  <c r="D32" i="16"/>
  <c r="H31" i="15"/>
  <c r="J31" i="15" s="1"/>
  <c r="E31" i="15"/>
  <c r="D32" i="15"/>
  <c r="G34" i="16"/>
  <c r="F36" i="16"/>
  <c r="A36" i="16"/>
  <c r="B34" i="16"/>
  <c r="H35" i="15"/>
  <c r="J35" i="15" s="1"/>
  <c r="D37" i="16"/>
  <c r="E37" i="16" s="1"/>
  <c r="C39" i="16"/>
  <c r="I38" i="16" s="1"/>
  <c r="B36" i="15"/>
  <c r="A38" i="15"/>
  <c r="G36" i="15"/>
  <c r="F38" i="15"/>
  <c r="C38" i="15"/>
  <c r="I37" i="15" s="1"/>
  <c r="D36" i="15"/>
  <c r="E36" i="15" s="1"/>
  <c r="B35" i="2"/>
  <c r="H35" i="2" s="1"/>
  <c r="J35" i="2" s="1"/>
  <c r="G36" i="2"/>
  <c r="F38" i="2"/>
  <c r="C38" i="2"/>
  <c r="D36" i="2"/>
  <c r="I36" i="2"/>
  <c r="E35" i="2"/>
  <c r="E32" i="15" l="1"/>
  <c r="H32" i="15"/>
  <c r="J32" i="15" s="1"/>
  <c r="D33" i="15"/>
  <c r="D33" i="16"/>
  <c r="E32" i="16"/>
  <c r="H32" i="16"/>
  <c r="J32" i="16" s="1"/>
  <c r="B35" i="16"/>
  <c r="H35" i="16" s="1"/>
  <c r="J35" i="16" s="1"/>
  <c r="A37" i="16"/>
  <c r="G35" i="16"/>
  <c r="F37" i="16"/>
  <c r="H36" i="15"/>
  <c r="J36" i="15" s="1"/>
  <c r="D38" i="16"/>
  <c r="E38" i="16" s="1"/>
  <c r="A39" i="15"/>
  <c r="B37" i="15"/>
  <c r="G37" i="15"/>
  <c r="F39" i="15"/>
  <c r="D37" i="15"/>
  <c r="E37" i="15" s="1"/>
  <c r="C39" i="15"/>
  <c r="I38" i="15" s="1"/>
  <c r="B36" i="2"/>
  <c r="H36" i="2" s="1"/>
  <c r="J36" i="2" s="1"/>
  <c r="I37" i="2"/>
  <c r="E36" i="2"/>
  <c r="C39" i="2"/>
  <c r="D37" i="2"/>
  <c r="F39" i="2"/>
  <c r="G37" i="2"/>
  <c r="H33" i="16" l="1"/>
  <c r="J33" i="16" s="1"/>
  <c r="E33" i="16"/>
  <c r="D34" i="16"/>
  <c r="E33" i="15"/>
  <c r="H33" i="15"/>
  <c r="J33" i="15" s="1"/>
  <c r="B36" i="16"/>
  <c r="H36" i="16" s="1"/>
  <c r="J36" i="16" s="1"/>
  <c r="A38" i="16"/>
  <c r="G36" i="16"/>
  <c r="F38" i="16"/>
  <c r="D39" i="16"/>
  <c r="E39" i="16" s="1"/>
  <c r="H37" i="15"/>
  <c r="J37" i="15" s="1"/>
  <c r="B38" i="15"/>
  <c r="B39" i="15" s="1"/>
  <c r="G38" i="15"/>
  <c r="G39" i="15" s="1"/>
  <c r="D38" i="15"/>
  <c r="E38" i="15" s="1"/>
  <c r="I38" i="2"/>
  <c r="B37" i="2"/>
  <c r="H37" i="2" s="1"/>
  <c r="J37" i="2" s="1"/>
  <c r="E37" i="2"/>
  <c r="D38" i="2"/>
  <c r="G38" i="2"/>
  <c r="G39" i="2" s="1"/>
  <c r="E34" i="16" l="1"/>
  <c r="H34" i="16"/>
  <c r="J34" i="16" s="1"/>
  <c r="F39" i="16"/>
  <c r="G37" i="16"/>
  <c r="A39" i="16"/>
  <c r="B38" i="16" s="1"/>
  <c r="H38" i="16" s="1"/>
  <c r="J38" i="16" s="1"/>
  <c r="B37" i="16"/>
  <c r="H37" i="16" s="1"/>
  <c r="J37" i="16" s="1"/>
  <c r="H38" i="15"/>
  <c r="J38" i="15" s="1"/>
  <c r="D39" i="15"/>
  <c r="E39" i="15" s="1"/>
  <c r="B38" i="2"/>
  <c r="B39" i="2" s="1"/>
  <c r="D39" i="2"/>
  <c r="E38" i="2"/>
  <c r="H39" i="2" l="1"/>
  <c r="J39" i="2" s="1"/>
  <c r="B39" i="16"/>
  <c r="H39" i="16" s="1"/>
  <c r="J39" i="16" s="1"/>
  <c r="J40" i="16" s="1"/>
  <c r="C44" i="13" s="1"/>
  <c r="C46" i="13" s="1"/>
  <c r="G38" i="16"/>
  <c r="G39" i="16" s="1"/>
  <c r="H39" i="15"/>
  <c r="J39" i="15" s="1"/>
  <c r="J40" i="15" s="1"/>
  <c r="H38" i="2"/>
  <c r="J38" i="2" s="1"/>
  <c r="J40" i="2" s="1"/>
  <c r="B48" i="13" s="1"/>
  <c r="E39" i="2"/>
  <c r="C48" i="13" l="1"/>
  <c r="C47" i="13" s="1"/>
  <c r="B44" i="13"/>
  <c r="B46" i="13" s="1"/>
  <c r="B47" i="13" s="1"/>
</calcChain>
</file>

<file path=xl/sharedStrings.xml><?xml version="1.0" encoding="utf-8"?>
<sst xmlns="http://schemas.openxmlformats.org/spreadsheetml/2006/main" count="232" uniqueCount="159">
  <si>
    <t>Accounting date</t>
  </si>
  <si>
    <t>Accounting date:</t>
  </si>
  <si>
    <t>Current year</t>
  </si>
  <si>
    <t>Previous year</t>
  </si>
  <si>
    <t>Year from</t>
  </si>
  <si>
    <t>Total</t>
  </si>
  <si>
    <t>Projected DRCs</t>
  </si>
  <si>
    <t>Which RP is in force?</t>
  </si>
  <si>
    <t>2015 RP</t>
  </si>
  <si>
    <t>2012 RP</t>
  </si>
  <si>
    <t>Discounting factor</t>
  </si>
  <si>
    <t>Projected DRCs discounted</t>
  </si>
  <si>
    <t>Discount rate</t>
  </si>
  <si>
    <t>First month DRCs</t>
  </si>
  <si>
    <t>Discount rate - manual (pa)</t>
  </si>
  <si>
    <t>Inflation rate</t>
  </si>
  <si>
    <t>Is the date between Apr and Dec 2015?</t>
  </si>
  <si>
    <t>Recovery plan "Table 1"</t>
  </si>
  <si>
    <t>Pensioner Service</t>
  </si>
  <si>
    <t>less than 1</t>
  </si>
  <si>
    <t>1 to 2</t>
  </si>
  <si>
    <t>2 to 3</t>
  </si>
  <si>
    <t>3 to 4</t>
  </si>
  <si>
    <t>4 to 5</t>
  </si>
  <si>
    <t>5 to 6</t>
  </si>
  <si>
    <t>greater than 6</t>
  </si>
  <si>
    <t>% contribution</t>
  </si>
  <si>
    <t>Date</t>
  </si>
  <si>
    <t>Expected contribution</t>
  </si>
  <si>
    <t>Adjusted for % cont</t>
  </si>
  <si>
    <t>Adjustment</t>
  </si>
  <si>
    <t>These pick up yields from the input sheet and feed into the calcs sheets. Either lookup yeilds or takes manually entered yield if overridden.</t>
  </si>
  <si>
    <t>Recovery Plan dates</t>
  </si>
  <si>
    <t>Signed</t>
  </si>
  <si>
    <t>Ends</t>
  </si>
  <si>
    <t>Interest cost (recognised in SoFA)</t>
  </si>
  <si>
    <t>Balance sheet liability at year end</t>
  </si>
  <si>
    <t xml:space="preserve">Section 28.11A of FRS 102 requires agreed deficit recovery payments to be recognised as a liability.  The movement in the provision is set out in the table below. </t>
  </si>
  <si>
    <t>This liability represents the present value of the deficit contributions agreed as at the accounting date and has been valued using the following assumptions set by reference to the duration of the deficit recovery payments:</t>
  </si>
  <si>
    <t>Future increases to Minimum Pensionable Income</t>
  </si>
  <si>
    <t>Remaining change to balance sheet liability* (recognised in SoFA)</t>
  </si>
  <si>
    <t>Accounting date (year ending):</t>
  </si>
  <si>
    <t>These cells will only be automatically populated for accounting dates on or before 30 April 2016.</t>
  </si>
  <si>
    <t>Employer / Church name:</t>
  </si>
  <si>
    <t>Manual Overide (optional)</t>
  </si>
  <si>
    <r>
      <t xml:space="preserve">Please complete </t>
    </r>
    <r>
      <rPr>
        <u/>
        <sz val="10"/>
        <color theme="1"/>
        <rFont val="Arial"/>
        <family val="2"/>
        <scheme val="minor"/>
      </rPr>
      <t>all</t>
    </r>
    <r>
      <rPr>
        <sz val="10"/>
        <color theme="1"/>
        <rFont val="Arial"/>
        <family val="2"/>
        <scheme val="minor"/>
      </rPr>
      <t xml:space="preserve"> blue input cells</t>
    </r>
  </si>
  <si>
    <t>Lavender input cells are optional</t>
  </si>
  <si>
    <t>Default discount rate (pa)</t>
  </si>
  <si>
    <t>Default increase in MPI* (pa)</t>
  </si>
  <si>
    <t>*Minimum Pensionable Income</t>
  </si>
  <si>
    <t>Simplifications:</t>
  </si>
  <si>
    <t>Have used 365 in fraction for year length</t>
  </si>
  <si>
    <t>Havent adjusted for increase date of inflationary increase on last cont in RP</t>
  </si>
  <si>
    <t>FRS102 template disclosure</t>
  </si>
  <si>
    <t>Background to the disclosure</t>
  </si>
  <si>
    <t>The Church is an employer participating in a pension scheme known as the Baptist Pension Scheme (“the Scheme”), which is administered by the Pension Trustee (Baptist Pension Trust Limited).  The Scheme is a separate legal entity and the assets of the Scheme are held separately from those of the Employer and the other participating employers.</t>
  </si>
  <si>
    <t>For any month, each participating employer in the Scheme pays contributions as set out in the Schedule of Contributions in force at that time.</t>
  </si>
  <si>
    <t xml:space="preserve">The key assumptions underlying the valuation were as follows:  </t>
  </si>
  <si>
    <t>Type of financial assumption</t>
  </si>
  <si>
    <t>% pa</t>
  </si>
  <si>
    <t xml:space="preserve">RPI price inflation assumption </t>
  </si>
  <si>
    <t>CPI price inflation assumption</t>
  </si>
  <si>
    <t>Assumed investment returns</t>
  </si>
  <si>
    <t>- Pre-retirement</t>
  </si>
  <si>
    <t>- Post retirement</t>
  </si>
  <si>
    <t>Deferred pension increases</t>
  </si>
  <si>
    <t>- Pre April 2009</t>
  </si>
  <si>
    <t>- Post April 2009</t>
  </si>
  <si>
    <t>Pension increases</t>
  </si>
  <si>
    <t>- Main Scheme pension Pre April 2006</t>
  </si>
  <si>
    <t>- Main Scheme pension Post April 2006</t>
  </si>
  <si>
    <t>Cessation Event [delete as necessary]</t>
  </si>
  <si>
    <t>Recovery Plan</t>
  </si>
  <si>
    <t>Movement in Balance Sheet liability</t>
  </si>
  <si>
    <t>Assumptions:</t>
  </si>
  <si>
    <t>MPI* increase rate - manual (pa)</t>
  </si>
  <si>
    <t>Inputs complete?</t>
  </si>
  <si>
    <t>Instructions for use</t>
  </si>
  <si>
    <t>Do not leave any blank blue cells or the disclosures will not be produced. Where a figure is zero, enter zero.</t>
  </si>
  <si>
    <t>The spreadsheet requires the following assumptions:</t>
  </si>
  <si>
    <t>- Assumed rate of future increase in the Minimum Pensionable Income</t>
  </si>
  <si>
    <t>In order to produce your disclosures, proceed to the "Inputs" worksheet and complete all blue cells.</t>
  </si>
  <si>
    <t>Inputs required</t>
  </si>
  <si>
    <t>Assumptions</t>
  </si>
  <si>
    <t>- Discount rate</t>
  </si>
  <si>
    <t>Each of these assumptions is required at the accounting date and on the equivalent date in the preceding two years.</t>
  </si>
  <si>
    <t>Disclosure</t>
  </si>
  <si>
    <t xml:space="preserve">For example, you will need to complete the following: </t>
  </si>
  <si>
    <t xml:space="preserve">- The wording regarding cessation events (the example wording can be deleted if not needed) </t>
  </si>
  <si>
    <t xml:space="preserve">Once you have completed the inputs and assumptions, the spreadsheet will calculate the figures required for your FRS102 disclosure. </t>
  </si>
  <si>
    <t>Further detail is below.</t>
  </si>
  <si>
    <t>FRS102 disclosures - calculation spreadsheet</t>
  </si>
  <si>
    <t>Annual Yield</t>
  </si>
  <si>
    <t>iBoxx £ Corporates AA 10-15</t>
  </si>
  <si>
    <t>IYFF</t>
  </si>
  <si>
    <t>MPI increase</t>
  </si>
  <si>
    <t xml:space="preserve">Discount rate </t>
  </si>
  <si>
    <t>10-year spot BoE infln annualised</t>
  </si>
  <si>
    <t>Under FRS102, employers that participate in multi-employer defined benefit schemes where there is insufficient information to do full defined benefit accounting, and where the employers are not under common control, need to recognise a liability to make payments to fund any deficit.  This in turn affects employers’ balance sheet values.  This differs from the approach under FRS17, which did not require employers to recognise a liability.</t>
  </si>
  <si>
    <t>* Comprises any change in agreed deficit recovery plan and change in assumptions between year-ends.</t>
  </si>
  <si>
    <t>NOTE</t>
  </si>
  <si>
    <t>You will also need to disclose details of costs in relation to benefits earned and expenses during the year, which should be equal to the contributions paid.</t>
  </si>
  <si>
    <t>Use of this spreadsheet</t>
  </si>
  <si>
    <t xml:space="preserve">This spreadsheet (including any calculations) has been provided to assist you and is only appropriate for the purposes described below.  </t>
  </si>
  <si>
    <t>Unless otherwise indicated, it is not intended to assist any other party nor should it be used to assist with any other action or decision.</t>
  </si>
  <si>
    <t>It is provided for your sole use and is confidential to you.  You should not provide it, in whole or in part, to any third party other than your professional advisers for the purposes of the provision of services to you unless you have obtained prior written consent from BUGB to the form and context in which you wish to do so.</t>
  </si>
  <si>
    <t>Disclosures can be calculated using this spreadsheet at any accounting date from 30 June 2015 onwards, provided it is a month-end.</t>
  </si>
  <si>
    <t xml:space="preserve">The "Disclosure" worksheet will then be automatically populated and can be inserted into your accounts as needed. </t>
  </si>
  <si>
    <t xml:space="preserve">Then consider the assumptions to be used (see notes below) and if necessary complete the lavender cells. </t>
  </si>
  <si>
    <t>The "Disclosure" sheet sets out possible wording and figures required for your accounts, and can be printed as required.</t>
  </si>
  <si>
    <t xml:space="preserve">You will need to tailor some of the disclosure wording to your specific circumstances and check you are happy that iti is accurate for your organisation. </t>
  </si>
  <si>
    <t>- The wording relating to employer eligibility in the background section</t>
  </si>
  <si>
    <t>You will also need to add:</t>
  </si>
  <si>
    <t>- Details of costs in relation to benefits earned and expenses during the year, which should be equal to the employer contributions paid for that part.  For the Baptist Pension Scheme this is based on the total of "Employer's monthly pension contribution" in the letters you were sent regarding your contributions to the Scheme.</t>
  </si>
  <si>
    <t>- Details of any relevant pensions arrangements other than the Baptist Pension Scheme</t>
  </si>
  <si>
    <t>The Baptist Union of Great Britain (BUGB), Baptist Pension Trustee Limited (BPTL) and their advisers accept no liability to any party to this spreadsheet has been provided (with or without our consent), unless that party has asked us to confirm our liability to them in relation to this work, and we have done so in writing.</t>
  </si>
  <si>
    <t>The purpose of this spreadsheet is to enable employers participating in the Baptist Pension Scheme to calculate figures relating to deficiency payments in the Scheme, as required for FRS 102 disclosures.  It should not be used for any other purpose.</t>
  </si>
  <si>
    <t>Deficiency contributions due:</t>
  </si>
  <si>
    <t>Deficiency contributions payable in the month to:</t>
  </si>
  <si>
    <t>Enter assumptions here if you wish to manually override any of the above default assumptions, or if default assumptions are not available based on the date you have chosen.  Default assumptions for dates after 30 April 2016 are available on the Baptist Pensions website.</t>
  </si>
  <si>
    <t>Please refer to the Instructions sheet for more details.</t>
  </si>
  <si>
    <t>FRS102 pensions disclosure</t>
  </si>
  <si>
    <t>The Scheme is considered to be a multi-employer scheme as described in Section 28 of FRS 102.  This is because it is not possible to attribute the Scheme’s assets and liabilities to specific employers and means that contributions are accounted for as if the Scheme were a defined contribution scheme.  The pensions costs charged to the SoFA in the year are contributions payable towards benefits and expenses accrued in that year, plus any impact of deficiency contributions (see below).</t>
  </si>
  <si>
    <t>Minus deficiency contributions paid</t>
  </si>
  <si>
    <t>This includes the balance sheet liability at the accounting date, the reconciliation of the balance sheet liability over the year leading up to the accounting date, and prior year comparators.  The balance sheet liability is calculated as the present value of your organisation's future deficiency contributions, as at the accounting date and based on the information and assumptions you have entered.</t>
  </si>
  <si>
    <t xml:space="preserve">This spreadsheet will enable you to complete an FRS102 disclosure in respect of the deficiency contributions paid by your organisation to the Baptist Pension Scheme.
When you input the required data, the spreadsheet will produce the FRS102 disclosure.
To complete the spreadsheet you will need to know:
•         the current %age rate of pension deficiency contribution for your organisation
•         the £ amounts of deficency contributions made in the last 2 years by your organisation
You will also need to include assumptions about future discount rates and future increases in Minimum Pensionable Income. Making these assumptions is the responsibility of the Employer, but to assist you, default assumptions are provided. These default assumptions can be manually overridden if you wish. </t>
  </si>
  <si>
    <t>This spreadsheet calculates figures relating to deficiency payments in the Defined Benefit plan of the Baptist Pension Scheme only.  Contributions in relation to expenses and current and future pensionable service in the Defined Contribution plan of the Baptist Pension Scheme, and contributions to other pension schemes need to be calculated and disclosed separately.</t>
  </si>
  <si>
    <t>The inputs required to populate the FRS102 Disclosure document are as follows:</t>
  </si>
  <si>
    <t>- The Church/Employer name</t>
  </si>
  <si>
    <t>- The accounting date at which you require the FRS102 figures (must be a month end).</t>
  </si>
  <si>
    <t>- The amount of deficiency contributions due in the month following the accounting date.</t>
  </si>
  <si>
    <t>- The amount of deficiency contributions payable each month for the two years preceding the accounting date.  This information can be found in the annual letters you have received from the BPS regarding your monthly Baptist Pension Scheme contributions.  It is labelled "deficiency contribution".</t>
  </si>
  <si>
    <t>The spreadsheet provides default assumptions which we believe are consistent with the requirements of FRS102.  However, the assumptions underlying the FRS102 disclosures are ultimately the responsibility of the Employer and the spreadsheet allows the employer to manually override the defaults, if it wishes to use other assumptions.</t>
  </si>
  <si>
    <t xml:space="preserve">For accounting dates on or before 30 April 2016, the spreadsheet provides some default assumptions.  These default assumptions will only be used if you do not manually enter alternative assumptions in the lavender cells.  </t>
  </si>
  <si>
    <t>For accounting dates after 30 April 2016, updated default assumptions can be found on the Baptist Pension Scheme website.</t>
  </si>
  <si>
    <t>Enter the % rate of Minimum Pensionable Income currently payable as deficiency contributions by your organisation. This information is available in the letter you received in November 2015 under the heading "Level of deficit contributions".  (Most employers pay 12% of MPI, although some employers with a limited period of participation in the Scheme pay a lower rate, between 6% and 11%.  If you are unsure what rate you are paying, please contact LCP.)</t>
  </si>
  <si>
    <t>- The % rate of Minimum Pensionable Income currently payable as deficiency contributions by your organisation, in accordance with the Baptist Pension Scheme's recovery plan.  This information is available in the letter you received in November 2015 under the heading "Level of deficit contributions".  (Most employers pay 12% of MPI, although some employers with a limited period of participation in the Scheme pay a lower rate, between 6% and 11%.  If you are unsure what rate you are paying, please contact LCP.)</t>
  </si>
  <si>
    <t>[Consequent upon [the departure of the Minister from the Church in [year]], the Church had a cessation event under Section 75 of the Pensions Act 1995. This makes the Church liable for the proportion of the overall deficit (assessed by reference to the cost of securing benefits by the purchase of annuities) applicable to its previous Ministers who were members of the Scheme. At present the Church is paying the ongoing deficiency contributions outlined above, and the balance sheet liability below is based on those deficiency contributions. However, the Pension Scheme Trustee has the right to quantify and seek payment of the debt at any time.]</t>
  </si>
  <si>
    <t>In particular, please note that an employer's balance sheet liability under FRS 102 is not the same as their potential employer debt exposure.</t>
  </si>
  <si>
    <t>Version no</t>
  </si>
  <si>
    <t>allow formatting of columns, allow users to amend wording in the cessation event section of the disclosure worksheet</t>
  </si>
  <si>
    <t>Change</t>
  </si>
  <si>
    <t>Benefits in respect of service prior to 1 January 2012 are provided through the Defined Benefit (DB) Plan within the Scheme.  The main benefits for pre-2012 service were a defined benefit pension of one eightieth of Final Minimum Pensionable Income for each year of Pensionable Service, together with additional pension in respect of premiums paid on Pensionable Income in excess of Minimum Pensionable Income.  The Scheme, previously known as the Baptist Ministers’ Pension Fund, started in 1925, but was closed to future accrual of defined benefits on 31 December 2011.</t>
  </si>
  <si>
    <t>May 2018 v1.0</t>
  </si>
  <si>
    <t>add 2018 valuation Rec Plan, update wording</t>
  </si>
  <si>
    <t>2018 RP</t>
  </si>
  <si>
    <t>2015 RP signed</t>
  </si>
  <si>
    <t>2018 RP signed</t>
  </si>
  <si>
    <t>RP end date</t>
  </si>
  <si>
    <t>Contribution Rate:</t>
  </si>
  <si>
    <t xml:space="preserve">The template has been prepared to be helpful to churches and other employers that participate in the Scheme (the “Employers”) but the disclosure is ultimately the relevant Employer's responsibility.  </t>
  </si>
  <si>
    <r>
      <t>§</t>
    </r>
    <r>
      <rPr>
        <sz val="7"/>
        <rFont val="Times New Roman"/>
        <family val="1"/>
      </rPr>
      <t xml:space="preserve">   </t>
    </r>
    <r>
      <rPr>
        <sz val="9"/>
        <rFont val="Arial"/>
        <family val="2"/>
        <scheme val="minor"/>
      </rPr>
      <t xml:space="preserve">Post–retirement mortality in accordance with 75% of the S2NFA and S2NMA tables, with allowance for future improvements in mortality rates from 2007 in line with the CMI 2016 core projections, with a long term annual rate of improvement of 1.75% for males and 1.5% for females.  </t>
    </r>
  </si>
  <si>
    <t xml:space="preserve">The next actuarial valuation of the DB Plan within the Scheme is due to take place not later than as at 31 December 2019. </t>
  </si>
  <si>
    <t>Minimum Pensionable Income increases (CPI plus 0.75% pa)</t>
  </si>
  <si>
    <t>A formal valuation of the Defined Benefit (DB) Plan was performed at 31 December 2016 by a professionally qualified Actuary using the Projected Unit Method. The market value of the DB Plan assets at the valuation date was £219 million. 
The valuation of the DB Plan revealed a deficit of assets compared with the value of liabilities of £93 million (equivalent to a past service funding level of 70%).  The Church and the other employers supporting the DB Plan are collectively responsible for funding this deficit.</t>
  </si>
  <si>
    <t>The Minister(s) [and some members of the church staff] is / are eligible to join the Scheme.
From January 2012, pension provision is being made through the Defined Contribution (DC) Plan within the Scheme. In general, members pay 8% of their Pensionable Income and employers pay 6% of members’ Pensionable Income into individual pension accounts, which are operated and managed on behalf of the Pension Trustee by Legal and General Life Assurance Society Limited. In addition, the employer pays a further 4% of Pensionable Income to cover Death in Service Benefits, administration costs, and an associated insurance policy which provides income protection for Scheme members in the event that they are unable to work due to long-term incapacity. This income protection policy has been insured by the Baptist Union of Great Britain with Unum Limited. [Members of the Basic Section pay reduced contributions of 5% of Pensionable Income, and their employers also pay a total of 5%.] The further 4% contribution rate is reduced to 3% for Employer contributions made to the Segregated DC Arrangement.</t>
  </si>
  <si>
    <t>Actuarial valuation as at 31 December 2016</t>
  </si>
  <si>
    <t xml:space="preserve">In addition to the contributions to the DC Plan set out above, where a valuation of the DB Plan reveals a deficit the Trustee and the Council agree to a rate of deficiency contributions from churches and other employers involved in the DB Plan. </t>
  </si>
  <si>
    <t>Under the current Recovery Plan dated 16 December 2018, deficiency contributions are payable until 31 December 2028. These contributions are broadly based on the employer's membership at 31 December 2014 and increase annually in line with increases to Minimum Pensionable Income as defined in the Rules.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</si>
</sst>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F800]dddd\,\ mmmm\ dd\,\ yyyy"/>
    <numFmt numFmtId="165" formatCode="&quot;£&quot;#,##0.00"/>
    <numFmt numFmtId="166" formatCode="0.0%"/>
    <numFmt numFmtId="167" formatCode="&quot;£&quot;#,##0"/>
    <numFmt numFmtId="168" formatCode="0.0000"/>
  </numFmts>
  <fonts count="25" x14ac:knownFonts="1">
    <font>
      <sz val="10"/>
      <color theme="1"/>
      <name val="Arial"/>
      <family val="2"/>
      <scheme val="minor"/>
    </font>
    <font>
      <sz val="10"/>
      <color theme="1"/>
      <name val="Arial"/>
      <family val="2"/>
    </font>
    <font>
      <sz val="10"/>
      <color theme="1"/>
      <name val="Arial"/>
      <family val="2"/>
      <scheme val="minor"/>
    </font>
    <font>
      <b/>
      <sz val="12"/>
      <color theme="3"/>
      <name val="Arial"/>
      <family val="2"/>
      <scheme val="minor"/>
    </font>
    <font>
      <sz val="12"/>
      <color theme="3"/>
      <name val="Arial"/>
      <family val="2"/>
      <scheme val="minor"/>
    </font>
    <font>
      <b/>
      <sz val="10"/>
      <color theme="1"/>
      <name val="Arial"/>
      <family val="2"/>
      <scheme val="minor"/>
    </font>
    <font>
      <i/>
      <sz val="16"/>
      <color rgb="FF00A3C7"/>
      <name val="Georgia"/>
      <family val="1"/>
    </font>
    <font>
      <b/>
      <sz val="9"/>
      <color rgb="FF00A3C7"/>
      <name val="Arial"/>
      <family val="2"/>
      <scheme val="minor"/>
    </font>
    <font>
      <sz val="9"/>
      <color theme="1"/>
      <name val="Arial"/>
      <family val="2"/>
      <scheme val="minor"/>
    </font>
    <font>
      <b/>
      <sz val="9"/>
      <color theme="1"/>
      <name val="Arial"/>
      <family val="2"/>
      <scheme val="minor"/>
    </font>
    <font>
      <b/>
      <sz val="9"/>
      <color rgb="FFFFFFFF"/>
      <name val="Arial"/>
      <family val="2"/>
      <scheme val="minor"/>
    </font>
    <font>
      <u/>
      <sz val="10"/>
      <color theme="1"/>
      <name val="Arial"/>
      <family val="2"/>
      <scheme val="minor"/>
    </font>
    <font>
      <b/>
      <sz val="10"/>
      <color rgb="FFFF0000"/>
      <name val="Arial"/>
      <family val="2"/>
      <scheme val="minor"/>
    </font>
    <font>
      <b/>
      <sz val="9"/>
      <color theme="0"/>
      <name val="Arial"/>
      <family val="2"/>
      <scheme val="minor"/>
    </font>
    <font>
      <sz val="9"/>
      <name val="Arial"/>
      <family val="2"/>
      <scheme val="minor"/>
    </font>
    <font>
      <sz val="11"/>
      <color theme="1"/>
      <name val="Arial"/>
      <family val="2"/>
      <scheme val="minor"/>
    </font>
    <font>
      <sz val="10"/>
      <name val="Arial"/>
      <family val="2"/>
      <scheme val="minor"/>
    </font>
    <font>
      <sz val="10"/>
      <name val="Times New Roman"/>
      <family val="1"/>
    </font>
    <font>
      <b/>
      <i/>
      <u/>
      <sz val="10"/>
      <color theme="1"/>
      <name val="Arial"/>
      <family val="2"/>
      <scheme val="minor"/>
    </font>
    <font>
      <i/>
      <sz val="10"/>
      <color theme="1"/>
      <name val="Arial"/>
      <family val="2"/>
      <scheme val="minor"/>
    </font>
    <font>
      <b/>
      <i/>
      <sz val="10"/>
      <color theme="1"/>
      <name val="Arial"/>
      <family val="2"/>
      <scheme val="minor"/>
    </font>
    <font>
      <b/>
      <sz val="10"/>
      <color rgb="FF00A3C7"/>
      <name val="Arial"/>
      <family val="2"/>
      <scheme val="minor"/>
    </font>
    <font>
      <sz val="10"/>
      <color rgb="FFFF0000"/>
      <name val="Arial"/>
      <family val="2"/>
      <scheme val="minor"/>
    </font>
    <font>
      <sz val="9"/>
      <name val="Wingdings"/>
      <charset val="2"/>
    </font>
    <font>
      <sz val="7"/>
      <name val="Times New Roman"/>
      <family val="1"/>
    </font>
  </fonts>
  <fills count="7">
    <fill>
      <patternFill patternType="none"/>
    </fill>
    <fill>
      <patternFill patternType="gray125"/>
    </fill>
    <fill>
      <patternFill patternType="solid">
        <fgColor theme="2" tint="0.79998168889431442"/>
        <bgColor indexed="64"/>
      </patternFill>
    </fill>
    <fill>
      <patternFill patternType="solid">
        <fgColor theme="5" tint="0.79998168889431442"/>
        <bgColor indexed="64"/>
      </patternFill>
    </fill>
    <fill>
      <patternFill patternType="solid">
        <fgColor rgb="FF00A3C7"/>
        <bgColor indexed="64"/>
      </patternFill>
    </fill>
    <fill>
      <patternFill patternType="solid">
        <fgColor theme="0"/>
        <bgColor indexed="64"/>
      </patternFill>
    </fill>
    <fill>
      <patternFill patternType="solid">
        <fgColor theme="7" tint="0.39997558519241921"/>
        <bgColor indexed="64"/>
      </patternFill>
    </fill>
  </fills>
  <borders count="63">
    <border>
      <left/>
      <right/>
      <top/>
      <bottom/>
      <diagonal/>
    </border>
    <border>
      <left style="thin">
        <color theme="3"/>
      </left>
      <right style="thin">
        <color theme="3"/>
      </right>
      <top style="thin">
        <color theme="3"/>
      </top>
      <bottom style="thin">
        <color theme="3"/>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3"/>
      </left>
      <right style="thin">
        <color theme="0"/>
      </right>
      <top style="thin">
        <color theme="3"/>
      </top>
      <bottom style="thin">
        <color theme="0"/>
      </bottom>
      <diagonal/>
    </border>
    <border>
      <left style="thin">
        <color theme="0"/>
      </left>
      <right style="thin">
        <color theme="3"/>
      </right>
      <top style="thin">
        <color theme="3"/>
      </top>
      <bottom style="thin">
        <color theme="0"/>
      </bottom>
      <diagonal/>
    </border>
    <border>
      <left style="thin">
        <color theme="3"/>
      </left>
      <right style="thin">
        <color theme="0"/>
      </right>
      <top style="thin">
        <color theme="0"/>
      </top>
      <bottom style="thin">
        <color theme="0"/>
      </bottom>
      <diagonal/>
    </border>
    <border>
      <left style="thin">
        <color theme="0"/>
      </left>
      <right style="thin">
        <color theme="3"/>
      </right>
      <top style="thin">
        <color theme="0"/>
      </top>
      <bottom style="thin">
        <color theme="0"/>
      </bottom>
      <diagonal/>
    </border>
    <border>
      <left style="thin">
        <color theme="3"/>
      </left>
      <right style="thin">
        <color theme="0"/>
      </right>
      <top style="thin">
        <color theme="0"/>
      </top>
      <bottom style="thin">
        <color theme="3"/>
      </bottom>
      <diagonal/>
    </border>
    <border>
      <left style="thin">
        <color theme="0"/>
      </left>
      <right style="thin">
        <color theme="3"/>
      </right>
      <top style="thin">
        <color theme="0"/>
      </top>
      <bottom style="thin">
        <color theme="3"/>
      </bottom>
      <diagonal/>
    </border>
    <border>
      <left style="thin">
        <color theme="3"/>
      </left>
      <right style="thin">
        <color theme="0"/>
      </right>
      <top style="thin">
        <color theme="3"/>
      </top>
      <bottom style="thin">
        <color theme="3"/>
      </bottom>
      <diagonal/>
    </border>
    <border>
      <left style="thin">
        <color theme="0"/>
      </left>
      <right style="thin">
        <color theme="3"/>
      </right>
      <top style="thin">
        <color theme="3"/>
      </top>
      <bottom style="thin">
        <color theme="3"/>
      </bottom>
      <diagonal/>
    </border>
    <border>
      <left style="thin">
        <color theme="3"/>
      </left>
      <right style="thin">
        <color theme="3"/>
      </right>
      <top style="thin">
        <color theme="3"/>
      </top>
      <bottom style="thin">
        <color theme="0"/>
      </bottom>
      <diagonal/>
    </border>
    <border>
      <left style="thin">
        <color theme="3"/>
      </left>
      <right style="thin">
        <color theme="3"/>
      </right>
      <top style="thin">
        <color theme="0"/>
      </top>
      <bottom style="thin">
        <color theme="0"/>
      </bottom>
      <diagonal/>
    </border>
    <border>
      <left style="thin">
        <color theme="3"/>
      </left>
      <right style="thin">
        <color theme="3"/>
      </right>
      <top style="thin">
        <color theme="0"/>
      </top>
      <bottom style="thin">
        <color theme="3"/>
      </bottom>
      <diagonal/>
    </border>
    <border>
      <left/>
      <right/>
      <top style="thin">
        <color theme="3"/>
      </top>
      <bottom style="thin">
        <color theme="3"/>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style="thin">
        <color theme="0"/>
      </left>
      <right style="thin">
        <color theme="0"/>
      </right>
      <top style="thin">
        <color theme="3"/>
      </top>
      <bottom style="thin">
        <color theme="0"/>
      </bottom>
      <diagonal/>
    </border>
    <border>
      <left style="thin">
        <color theme="0"/>
      </left>
      <right style="thin">
        <color theme="0"/>
      </right>
      <top style="thin">
        <color theme="0"/>
      </top>
      <bottom style="thin">
        <color theme="3"/>
      </bottom>
      <diagonal/>
    </border>
    <border>
      <left style="thin">
        <color theme="0"/>
      </left>
      <right style="thin">
        <color theme="0"/>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3"/>
      </left>
      <right style="thin">
        <color theme="3"/>
      </right>
      <top/>
      <bottom style="thin">
        <color theme="0"/>
      </bottom>
      <diagonal/>
    </border>
    <border>
      <left style="thin">
        <color theme="3"/>
      </left>
      <right style="thin">
        <color theme="3"/>
      </right>
      <top style="thin">
        <color theme="3"/>
      </top>
      <bottom/>
      <diagonal/>
    </border>
    <border>
      <left/>
      <right/>
      <top/>
      <bottom style="thick">
        <color rgb="FFFFFFFF"/>
      </bottom>
      <diagonal/>
    </border>
    <border>
      <left/>
      <right/>
      <top/>
      <bottom style="medium">
        <color rgb="FF00A3C7"/>
      </bottom>
      <diagonal/>
    </border>
    <border>
      <left/>
      <right style="thick">
        <color rgb="FFFFFFFF"/>
      </right>
      <top style="thick">
        <color rgb="FFFFFFFF"/>
      </top>
      <bottom style="thin">
        <color theme="0"/>
      </bottom>
      <diagonal/>
    </border>
    <border>
      <left style="thick">
        <color rgb="FFFFFFFF"/>
      </left>
      <right style="thick">
        <color rgb="FFFFFFFF"/>
      </right>
      <top style="thick">
        <color rgb="FFFFFFFF"/>
      </top>
      <bottom style="thin">
        <color theme="0"/>
      </bottom>
      <diagonal/>
    </border>
    <border>
      <left/>
      <right style="thick">
        <color rgb="FFFFFFFF"/>
      </right>
      <top style="thin">
        <color theme="0"/>
      </top>
      <bottom style="thin">
        <color theme="0"/>
      </bottom>
      <diagonal/>
    </border>
    <border>
      <left style="thick">
        <color rgb="FFFFFFFF"/>
      </left>
      <right style="thick">
        <color rgb="FFFFFFFF"/>
      </right>
      <top style="thin">
        <color theme="0"/>
      </top>
      <bottom style="thin">
        <color theme="0"/>
      </bottom>
      <diagonal/>
    </border>
    <border>
      <left style="thin">
        <color theme="0"/>
      </left>
      <right/>
      <top/>
      <bottom style="medium">
        <color theme="3"/>
      </bottom>
      <diagonal/>
    </border>
    <border>
      <left/>
      <right style="thick">
        <color rgb="FFFFFFFF"/>
      </right>
      <top style="thick">
        <color rgb="FFFFFFFF"/>
      </top>
      <bottom/>
      <diagonal/>
    </border>
    <border>
      <left style="thick">
        <color rgb="FFFFFFFF"/>
      </left>
      <right style="thick">
        <color rgb="FFFFFFFF"/>
      </right>
      <top style="thick">
        <color rgb="FFFFFFFF"/>
      </top>
      <bottom/>
      <diagonal/>
    </border>
    <border>
      <left style="thin">
        <color theme="0"/>
      </left>
      <right style="thin">
        <color theme="0"/>
      </right>
      <top/>
      <bottom style="medium">
        <color theme="3"/>
      </bottom>
      <diagonal/>
    </border>
    <border>
      <left/>
      <right style="thick">
        <color rgb="FFFFFFFF"/>
      </right>
      <top style="thin">
        <color theme="0"/>
      </top>
      <bottom/>
      <diagonal/>
    </border>
    <border>
      <left style="thick">
        <color rgb="FFFFFFFF"/>
      </left>
      <right style="thick">
        <color rgb="FFFFFFFF"/>
      </right>
      <top style="thin">
        <color theme="0"/>
      </top>
      <bottom/>
      <diagonal/>
    </border>
    <border>
      <left/>
      <right/>
      <top/>
      <bottom style="medium">
        <color theme="3"/>
      </bottom>
      <diagonal/>
    </border>
    <border>
      <left style="thin">
        <color theme="0"/>
      </left>
      <right/>
      <top/>
      <bottom/>
      <diagonal/>
    </border>
    <border>
      <left/>
      <right style="thin">
        <color theme="0"/>
      </right>
      <top/>
      <bottom/>
      <diagonal/>
    </border>
    <border>
      <left/>
      <right style="thin">
        <color theme="0"/>
      </right>
      <top style="thin">
        <color theme="3"/>
      </top>
      <bottom style="thin">
        <color theme="0"/>
      </bottom>
      <diagonal/>
    </border>
    <border>
      <left/>
      <right style="thin">
        <color theme="0"/>
      </right>
      <top style="thin">
        <color theme="0"/>
      </top>
      <bottom style="thin">
        <color theme="3"/>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top style="thin">
        <color theme="3"/>
      </top>
      <bottom style="thin">
        <color theme="0"/>
      </bottom>
      <diagonal/>
    </border>
    <border>
      <left style="thin">
        <color theme="0"/>
      </left>
      <right/>
      <top style="thin">
        <color theme="0"/>
      </top>
      <bottom style="thin">
        <color theme="3"/>
      </bottom>
      <diagonal/>
    </border>
    <border>
      <left/>
      <right style="thin">
        <color theme="3"/>
      </right>
      <top style="thin">
        <color theme="3"/>
      </top>
      <bottom style="thin">
        <color theme="0"/>
      </bottom>
      <diagonal/>
    </border>
    <border>
      <left/>
      <right style="thin">
        <color theme="3"/>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9" fontId="2" fillId="0" borderId="0" applyFont="0" applyFill="0" applyBorder="0" applyAlignment="0" applyProtection="0"/>
    <xf numFmtId="0" fontId="15" fillId="0" borderId="0"/>
    <xf numFmtId="0" fontId="1" fillId="0" borderId="0"/>
    <xf numFmtId="0" fontId="17" fillId="0" borderId="0"/>
    <xf numFmtId="0" fontId="17" fillId="0" borderId="0"/>
  </cellStyleXfs>
  <cellXfs count="247">
    <xf numFmtId="0" fontId="0" fillId="0" borderId="0" xfId="0"/>
    <xf numFmtId="0" fontId="2" fillId="0" borderId="2" xfId="0" applyFont="1" applyBorder="1"/>
    <xf numFmtId="0" fontId="3" fillId="0" borderId="2" xfId="0" applyFont="1" applyBorder="1"/>
    <xf numFmtId="0" fontId="4" fillId="0" borderId="2" xfId="0" applyFont="1" applyBorder="1"/>
    <xf numFmtId="1" fontId="5" fillId="0" borderId="2" xfId="0" applyNumberFormat="1" applyFont="1" applyBorder="1"/>
    <xf numFmtId="0" fontId="5" fillId="0" borderId="2" xfId="0" applyFont="1" applyBorder="1"/>
    <xf numFmtId="164" fontId="0" fillId="0" borderId="2" xfId="0" applyNumberFormat="1" applyFont="1" applyBorder="1" applyAlignment="1">
      <alignment horizontal="right"/>
    </xf>
    <xf numFmtId="164" fontId="2" fillId="0" borderId="2" xfId="0" applyNumberFormat="1" applyFont="1" applyBorder="1" applyAlignment="1">
      <alignment horizontal="left"/>
    </xf>
    <xf numFmtId="165" fontId="5" fillId="0" borderId="2" xfId="0" applyNumberFormat="1" applyFont="1" applyBorder="1"/>
    <xf numFmtId="0" fontId="0" fillId="0" borderId="2" xfId="0" applyBorder="1"/>
    <xf numFmtId="14" fontId="0" fillId="0" borderId="2" xfId="0" applyNumberFormat="1" applyBorder="1"/>
    <xf numFmtId="14" fontId="0" fillId="0" borderId="2" xfId="0" applyNumberFormat="1" applyFont="1" applyBorder="1"/>
    <xf numFmtId="0" fontId="5" fillId="0" borderId="6" xfId="0" applyFont="1" applyBorder="1"/>
    <xf numFmtId="14" fontId="5" fillId="0" borderId="6" xfId="0" applyNumberFormat="1" applyFont="1" applyBorder="1"/>
    <xf numFmtId="0" fontId="0" fillId="0" borderId="6" xfId="0" applyBorder="1"/>
    <xf numFmtId="0" fontId="0" fillId="0" borderId="7" xfId="0" applyBorder="1"/>
    <xf numFmtId="9" fontId="0" fillId="0" borderId="7" xfId="0" applyNumberFormat="1" applyBorder="1"/>
    <xf numFmtId="14" fontId="0" fillId="0" borderId="10" xfId="0" applyNumberFormat="1" applyFont="1" applyBorder="1"/>
    <xf numFmtId="14" fontId="0" fillId="0" borderId="12" xfId="0" applyNumberFormat="1" applyFont="1" applyBorder="1"/>
    <xf numFmtId="167" fontId="0" fillId="0" borderId="11" xfId="0" applyNumberFormat="1" applyBorder="1"/>
    <xf numFmtId="167" fontId="0" fillId="0" borderId="13" xfId="0" applyNumberFormat="1" applyBorder="1"/>
    <xf numFmtId="0" fontId="5" fillId="0" borderId="1" xfId="0" applyFont="1" applyBorder="1"/>
    <xf numFmtId="167" fontId="0" fillId="0" borderId="16" xfId="0" applyNumberFormat="1" applyBorder="1"/>
    <xf numFmtId="167" fontId="0" fillId="0" borderId="17" xfId="0" applyNumberFormat="1" applyBorder="1"/>
    <xf numFmtId="167" fontId="0" fillId="0" borderId="18" xfId="0" applyNumberFormat="1" applyBorder="1"/>
    <xf numFmtId="0" fontId="0" fillId="0" borderId="2" xfId="0" applyFill="1" applyBorder="1"/>
    <xf numFmtId="14" fontId="0" fillId="3" borderId="8" xfId="0" applyNumberFormat="1" applyFont="1" applyFill="1" applyBorder="1"/>
    <xf numFmtId="167" fontId="0" fillId="3" borderId="22" xfId="0" applyNumberFormat="1" applyFill="1" applyBorder="1"/>
    <xf numFmtId="167" fontId="0" fillId="3" borderId="9" xfId="0" applyNumberFormat="1" applyFill="1" applyBorder="1"/>
    <xf numFmtId="0" fontId="0" fillId="0" borderId="2" xfId="0" applyBorder="1" applyAlignment="1">
      <alignment wrapText="1"/>
    </xf>
    <xf numFmtId="0" fontId="0" fillId="3" borderId="2" xfId="0" applyFill="1" applyBorder="1" applyAlignment="1">
      <alignment horizontal="right"/>
    </xf>
    <xf numFmtId="10" fontId="0" fillId="3" borderId="2" xfId="1" applyNumberFormat="1" applyFont="1" applyFill="1" applyBorder="1"/>
    <xf numFmtId="0" fontId="0" fillId="0" borderId="23" xfId="0" applyBorder="1"/>
    <xf numFmtId="2" fontId="0" fillId="0" borderId="2" xfId="0" applyNumberFormat="1" applyFill="1" applyBorder="1"/>
    <xf numFmtId="0" fontId="0" fillId="3" borderId="6" xfId="0" applyFill="1" applyBorder="1"/>
    <xf numFmtId="9" fontId="0" fillId="3" borderId="2" xfId="1" applyFont="1" applyFill="1" applyBorder="1"/>
    <xf numFmtId="0" fontId="0" fillId="0" borderId="6" xfId="0" applyFill="1" applyBorder="1"/>
    <xf numFmtId="10" fontId="0" fillId="0" borderId="6" xfId="1" applyNumberFormat="1" applyFont="1" applyFill="1" applyBorder="1"/>
    <xf numFmtId="9" fontId="0" fillId="0" borderId="6" xfId="1" applyFont="1" applyFill="1" applyBorder="1"/>
    <xf numFmtId="0" fontId="0" fillId="0" borderId="3" xfId="0" applyBorder="1"/>
    <xf numFmtId="0" fontId="0" fillId="0" borderId="2" xfId="0"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0" fillId="0" borderId="14" xfId="0" applyBorder="1" applyAlignment="1">
      <alignment horizontal="center"/>
    </xf>
    <xf numFmtId="0" fontId="0" fillId="0" borderId="28" xfId="0" applyBorder="1"/>
    <xf numFmtId="0" fontId="0" fillId="0" borderId="5" xfId="0" applyBorder="1"/>
    <xf numFmtId="167" fontId="5" fillId="0" borderId="1" xfId="0" applyNumberFormat="1" applyFont="1" applyBorder="1"/>
    <xf numFmtId="165" fontId="0" fillId="3" borderId="2" xfId="0" applyNumberFormat="1" applyFill="1" applyBorder="1"/>
    <xf numFmtId="0" fontId="0" fillId="0" borderId="16" xfId="0" applyBorder="1"/>
    <xf numFmtId="0" fontId="0" fillId="0" borderId="17" xfId="0" applyBorder="1"/>
    <xf numFmtId="0" fontId="0" fillId="0" borderId="18" xfId="0" applyBorder="1"/>
    <xf numFmtId="0" fontId="0" fillId="0" borderId="31" xfId="0" applyBorder="1"/>
    <xf numFmtId="166" fontId="0" fillId="3" borderId="2" xfId="1" applyNumberFormat="1" applyFont="1" applyFill="1" applyBorder="1"/>
    <xf numFmtId="14" fontId="0" fillId="3" borderId="2" xfId="0" applyNumberFormat="1" applyFill="1" applyBorder="1"/>
    <xf numFmtId="9" fontId="0" fillId="0" borderId="17" xfId="1" applyFont="1" applyBorder="1"/>
    <xf numFmtId="9" fontId="0" fillId="0" borderId="18" xfId="1" applyFont="1" applyBorder="1"/>
    <xf numFmtId="9" fontId="0" fillId="0" borderId="31" xfId="1" applyFont="1" applyBorder="1"/>
    <xf numFmtId="0" fontId="0" fillId="0" borderId="1" xfId="0" applyBorder="1"/>
    <xf numFmtId="0" fontId="0" fillId="0" borderId="24" xfId="0" applyBorder="1"/>
    <xf numFmtId="0" fontId="0" fillId="0" borderId="32" xfId="0" applyBorder="1"/>
    <xf numFmtId="14" fontId="0" fillId="0" borderId="16" xfId="0" applyNumberFormat="1" applyBorder="1"/>
    <xf numFmtId="14" fontId="0" fillId="0" borderId="18" xfId="0" applyNumberFormat="1" applyBorder="1"/>
    <xf numFmtId="0" fontId="2" fillId="0" borderId="5" xfId="0" applyFont="1" applyBorder="1"/>
    <xf numFmtId="0" fontId="2" fillId="0" borderId="6" xfId="0" applyFont="1" applyBorder="1"/>
    <xf numFmtId="164" fontId="2" fillId="0" borderId="7" xfId="0" applyNumberFormat="1" applyFont="1" applyBorder="1" applyAlignment="1">
      <alignment horizontal="left"/>
    </xf>
    <xf numFmtId="0" fontId="2" fillId="0" borderId="7" xfId="0" applyFont="1" applyBorder="1"/>
    <xf numFmtId="166" fontId="0" fillId="0" borderId="18" xfId="1" quotePrefix="1" applyNumberFormat="1" applyFont="1" applyFill="1" applyBorder="1"/>
    <xf numFmtId="166" fontId="0" fillId="0" borderId="31" xfId="1" quotePrefix="1" applyNumberFormat="1" applyFont="1" applyFill="1" applyBorder="1"/>
    <xf numFmtId="14" fontId="0" fillId="0" borderId="2" xfId="0" applyNumberFormat="1" applyFill="1" applyBorder="1"/>
    <xf numFmtId="0" fontId="0" fillId="0" borderId="2" xfId="0" applyFont="1" applyBorder="1"/>
    <xf numFmtId="0" fontId="10" fillId="4" borderId="33" xfId="0" applyFont="1" applyFill="1" applyBorder="1" applyAlignment="1">
      <alignment horizontal="right" vertical="center" wrapText="1" indent="2"/>
    </xf>
    <xf numFmtId="0" fontId="9" fillId="0" borderId="2" xfId="0" applyFont="1" applyBorder="1" applyAlignment="1">
      <alignment vertical="center"/>
    </xf>
    <xf numFmtId="164" fontId="0" fillId="0" borderId="1" xfId="0" applyNumberFormat="1" applyBorder="1"/>
    <xf numFmtId="0" fontId="3" fillId="5" borderId="3" xfId="0" applyFont="1" applyFill="1" applyBorder="1" applyAlignment="1">
      <alignment horizontal="left" wrapText="1"/>
    </xf>
    <xf numFmtId="0" fontId="3" fillId="5" borderId="4" xfId="0" applyFont="1" applyFill="1" applyBorder="1" applyAlignment="1">
      <alignment horizontal="left" wrapText="1"/>
    </xf>
    <xf numFmtId="0" fontId="3" fillId="5" borderId="5" xfId="0" applyFont="1" applyFill="1" applyBorder="1" applyAlignment="1">
      <alignment horizontal="left" wrapText="1"/>
    </xf>
    <xf numFmtId="0" fontId="2" fillId="5" borderId="3" xfId="0" applyFont="1" applyFill="1" applyBorder="1"/>
    <xf numFmtId="0" fontId="2" fillId="5" borderId="4" xfId="0" applyFont="1" applyFill="1" applyBorder="1"/>
    <xf numFmtId="0" fontId="12" fillId="5" borderId="2" xfId="0" applyFont="1" applyFill="1" applyBorder="1"/>
    <xf numFmtId="0" fontId="12" fillId="0" borderId="2" xfId="0" applyFont="1" applyBorder="1"/>
    <xf numFmtId="0" fontId="0" fillId="2" borderId="2" xfId="0" applyFont="1" applyFill="1" applyBorder="1" applyAlignment="1">
      <alignment horizontal="left"/>
    </xf>
    <xf numFmtId="0" fontId="8" fillId="0" borderId="2" xfId="0" applyFont="1" applyBorder="1" applyAlignment="1">
      <alignment vertical="center" wrapText="1"/>
    </xf>
    <xf numFmtId="0" fontId="0" fillId="0" borderId="2" xfId="0" applyBorder="1" applyAlignment="1">
      <alignment horizontal="left" wrapText="1"/>
    </xf>
    <xf numFmtId="2" fontId="0" fillId="0" borderId="2" xfId="0" applyNumberFormat="1" applyBorder="1"/>
    <xf numFmtId="0" fontId="8" fillId="5" borderId="0" xfId="0" applyFont="1" applyFill="1" applyBorder="1" applyAlignment="1">
      <alignment horizontal="left" vertical="center" wrapText="1"/>
    </xf>
    <xf numFmtId="0" fontId="10" fillId="4" borderId="33" xfId="0" applyFont="1" applyFill="1" applyBorder="1" applyAlignment="1">
      <alignment vertical="center" wrapText="1"/>
    </xf>
    <xf numFmtId="0" fontId="13" fillId="4" borderId="33" xfId="0" applyFont="1" applyFill="1" applyBorder="1" applyAlignment="1">
      <alignment horizontal="center" vertical="center" wrapText="1"/>
    </xf>
    <xf numFmtId="0" fontId="14" fillId="5" borderId="33" xfId="0" applyFont="1" applyFill="1" applyBorder="1" applyAlignment="1">
      <alignment vertical="center" wrapText="1"/>
    </xf>
    <xf numFmtId="0" fontId="14" fillId="5" borderId="0" xfId="0" applyFont="1" applyFill="1" applyAlignment="1">
      <alignment vertical="center" wrapText="1"/>
    </xf>
    <xf numFmtId="0" fontId="14" fillId="5" borderId="34" xfId="0" applyFont="1" applyFill="1" applyBorder="1" applyAlignment="1">
      <alignment vertical="center" wrapText="1"/>
    </xf>
    <xf numFmtId="164" fontId="10" fillId="4" borderId="33" xfId="0" applyNumberFormat="1" applyFont="1" applyFill="1" applyBorder="1" applyAlignment="1">
      <alignment vertical="center" wrapText="1"/>
    </xf>
    <xf numFmtId="0" fontId="0" fillId="0" borderId="5" xfId="0" applyFont="1" applyBorder="1"/>
    <xf numFmtId="0" fontId="9" fillId="0" borderId="7" xfId="0" applyFont="1" applyBorder="1" applyAlignment="1">
      <alignment vertical="center"/>
    </xf>
    <xf numFmtId="0" fontId="0" fillId="0" borderId="7" xfId="0" applyFont="1" applyBorder="1"/>
    <xf numFmtId="0" fontId="0" fillId="0" borderId="7" xfId="0" applyFill="1" applyBorder="1"/>
    <xf numFmtId="0" fontId="8" fillId="5" borderId="26" xfId="0" applyFont="1" applyFill="1" applyBorder="1" applyAlignment="1">
      <alignment horizontal="left" vertical="center" wrapText="1"/>
    </xf>
    <xf numFmtId="0" fontId="0" fillId="5" borderId="35" xfId="0" applyFont="1" applyFill="1" applyBorder="1" applyAlignment="1">
      <alignment vertical="center" wrapText="1"/>
    </xf>
    <xf numFmtId="167" fontId="0" fillId="0" borderId="36" xfId="0" applyNumberFormat="1" applyBorder="1" applyAlignment="1">
      <alignment vertical="center"/>
    </xf>
    <xf numFmtId="0" fontId="0" fillId="5" borderId="37" xfId="0" applyFont="1" applyFill="1" applyBorder="1" applyAlignment="1">
      <alignment vertical="center" wrapText="1"/>
    </xf>
    <xf numFmtId="167" fontId="0" fillId="5" borderId="38" xfId="0" applyNumberFormat="1" applyFill="1" applyBorder="1" applyAlignment="1">
      <alignment vertical="center"/>
    </xf>
    <xf numFmtId="0" fontId="0" fillId="5" borderId="40" xfId="0" applyFont="1" applyFill="1" applyBorder="1" applyAlignment="1">
      <alignment vertical="center"/>
    </xf>
    <xf numFmtId="166" fontId="0" fillId="5" borderId="41" xfId="1" applyNumberFormat="1" applyFont="1" applyFill="1" applyBorder="1" applyAlignment="1">
      <alignment vertical="center"/>
    </xf>
    <xf numFmtId="0" fontId="0" fillId="5" borderId="42" xfId="0" applyFont="1" applyFill="1" applyBorder="1" applyAlignment="1">
      <alignment vertical="center" wrapText="1"/>
    </xf>
    <xf numFmtId="166" fontId="0" fillId="5" borderId="42" xfId="1" applyNumberFormat="1" applyFont="1" applyFill="1" applyBorder="1" applyAlignment="1">
      <alignment vertical="center"/>
    </xf>
    <xf numFmtId="166" fontId="0" fillId="5" borderId="39" xfId="1" applyNumberFormat="1" applyFont="1" applyFill="1" applyBorder="1" applyAlignment="1">
      <alignment vertical="center"/>
    </xf>
    <xf numFmtId="0" fontId="0" fillId="5" borderId="43" xfId="0" applyFont="1" applyFill="1" applyBorder="1" applyAlignment="1">
      <alignment vertical="center" wrapText="1"/>
    </xf>
    <xf numFmtId="167" fontId="0" fillId="5" borderId="44" xfId="0" applyNumberFormat="1" applyFill="1" applyBorder="1" applyAlignment="1">
      <alignment vertical="center"/>
    </xf>
    <xf numFmtId="0" fontId="0" fillId="5" borderId="45" xfId="0" applyFont="1" applyFill="1" applyBorder="1" applyAlignment="1">
      <alignment vertical="center" wrapText="1"/>
    </xf>
    <xf numFmtId="0" fontId="0" fillId="3" borderId="2" xfId="0" applyFill="1" applyBorder="1"/>
    <xf numFmtId="0" fontId="0" fillId="0" borderId="0" xfId="0" applyFill="1" applyBorder="1"/>
    <xf numFmtId="10" fontId="16" fillId="0" borderId="0" xfId="1" applyNumberFormat="1" applyFont="1" applyFill="1" applyBorder="1"/>
    <xf numFmtId="0" fontId="15" fillId="0" borderId="0" xfId="2" applyFill="1" applyBorder="1"/>
    <xf numFmtId="0" fontId="1" fillId="0" borderId="0" xfId="3" applyFill="1" applyBorder="1"/>
    <xf numFmtId="14" fontId="0" fillId="0" borderId="0" xfId="0" applyNumberFormat="1" applyFill="1" applyBorder="1"/>
    <xf numFmtId="10" fontId="0" fillId="0" borderId="0" xfId="1" applyNumberFormat="1" applyFont="1" applyFill="1" applyBorder="1"/>
    <xf numFmtId="0" fontId="5" fillId="0" borderId="0" xfId="0" applyFont="1" applyFill="1" applyBorder="1" applyAlignment="1">
      <alignment wrapText="1"/>
    </xf>
    <xf numFmtId="0" fontId="0" fillId="0" borderId="0" xfId="0" applyFill="1" applyBorder="1" applyAlignment="1">
      <alignment wrapText="1"/>
    </xf>
    <xf numFmtId="0" fontId="0" fillId="0" borderId="3" xfId="0" applyFont="1" applyBorder="1" applyAlignment="1">
      <alignment vertical="center" wrapText="1"/>
    </xf>
    <xf numFmtId="0" fontId="6" fillId="0" borderId="3" xfId="0" applyFont="1" applyBorder="1" applyAlignment="1">
      <alignment vertical="center" wrapText="1"/>
    </xf>
    <xf numFmtId="0" fontId="5" fillId="0" borderId="2" xfId="0" applyFont="1" applyBorder="1" applyAlignment="1">
      <alignment wrapText="1"/>
    </xf>
    <xf numFmtId="0" fontId="0" fillId="0" borderId="2" xfId="0" quotePrefix="1" applyBorder="1" applyAlignment="1">
      <alignment wrapText="1"/>
    </xf>
    <xf numFmtId="0" fontId="0" fillId="0" borderId="25" xfId="0" applyBorder="1" applyAlignment="1">
      <alignment wrapText="1"/>
    </xf>
    <xf numFmtId="0" fontId="5" fillId="0" borderId="2" xfId="0" quotePrefix="1" applyFont="1" applyBorder="1" applyAlignment="1">
      <alignment wrapText="1"/>
    </xf>
    <xf numFmtId="0" fontId="18" fillId="0" borderId="2" xfId="0" applyFont="1" applyBorder="1"/>
    <xf numFmtId="0" fontId="19" fillId="0" borderId="2" xfId="0" applyFont="1" applyBorder="1"/>
    <xf numFmtId="166" fontId="19" fillId="0" borderId="2" xfId="1" applyNumberFormat="1" applyFont="1" applyFill="1" applyBorder="1"/>
    <xf numFmtId="0" fontId="0" fillId="6" borderId="2" xfId="0" applyFont="1" applyFill="1" applyBorder="1" applyAlignment="1"/>
    <xf numFmtId="0" fontId="2" fillId="0" borderId="2" xfId="0" applyFont="1" applyBorder="1" applyAlignment="1"/>
    <xf numFmtId="0" fontId="7" fillId="0" borderId="3" xfId="0" applyFont="1" applyBorder="1" applyAlignment="1">
      <alignment vertical="center" wrapText="1"/>
    </xf>
    <xf numFmtId="164" fontId="10" fillId="4" borderId="33" xfId="0" applyNumberFormat="1" applyFont="1" applyFill="1" applyBorder="1" applyAlignment="1">
      <alignment horizontal="center"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5" borderId="5"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wrapText="1"/>
    </xf>
    <xf numFmtId="0" fontId="7" fillId="5" borderId="5" xfId="0" applyFont="1" applyFill="1" applyBorder="1" applyAlignment="1">
      <alignment horizontal="left" vertical="center" wrapText="1"/>
    </xf>
    <xf numFmtId="0" fontId="7" fillId="5" borderId="3" xfId="0" applyFont="1" applyFill="1" applyBorder="1" applyAlignment="1">
      <alignment horizontal="left" vertical="center"/>
    </xf>
    <xf numFmtId="0" fontId="20" fillId="5" borderId="3" xfId="0" quotePrefix="1" applyFont="1" applyFill="1" applyBorder="1" applyAlignment="1">
      <alignment horizontal="left" wrapText="1"/>
    </xf>
    <xf numFmtId="0" fontId="20" fillId="5" borderId="4" xfId="0" quotePrefix="1" applyFont="1" applyFill="1" applyBorder="1" applyAlignment="1">
      <alignment horizontal="left" wrapText="1"/>
    </xf>
    <xf numFmtId="0" fontId="20" fillId="5" borderId="5" xfId="0" quotePrefix="1" applyFont="1" applyFill="1" applyBorder="1" applyAlignment="1">
      <alignment horizontal="left" wrapText="1"/>
    </xf>
    <xf numFmtId="0" fontId="21" fillId="0" borderId="2" xfId="0" applyFont="1" applyBorder="1" applyAlignment="1">
      <alignment vertical="center" wrapText="1"/>
    </xf>
    <xf numFmtId="14" fontId="0" fillId="2" borderId="2" xfId="0" applyNumberFormat="1" applyFont="1" applyFill="1" applyBorder="1" applyAlignment="1" applyProtection="1">
      <alignment horizontal="right"/>
      <protection locked="0"/>
    </xf>
    <xf numFmtId="164" fontId="0" fillId="2" borderId="2" xfId="0" applyNumberFormat="1" applyFont="1" applyFill="1" applyBorder="1" applyProtection="1">
      <protection locked="0"/>
    </xf>
    <xf numFmtId="9" fontId="2" fillId="2" borderId="2" xfId="1" applyFont="1" applyFill="1" applyBorder="1" applyProtection="1">
      <protection locked="0"/>
    </xf>
    <xf numFmtId="165" fontId="2" fillId="2" borderId="2" xfId="0" applyNumberFormat="1" applyFont="1" applyFill="1" applyBorder="1" applyProtection="1">
      <protection locked="0"/>
    </xf>
    <xf numFmtId="166" fontId="0" fillId="6" borderId="2" xfId="1" applyNumberFormat="1" applyFont="1" applyFill="1" applyBorder="1" applyProtection="1">
      <protection locked="0"/>
    </xf>
    <xf numFmtId="0" fontId="16" fillId="0" borderId="3" xfId="0" applyFont="1" applyBorder="1" applyAlignment="1">
      <alignment vertical="center" wrapText="1"/>
    </xf>
    <xf numFmtId="167" fontId="0" fillId="5" borderId="45" xfId="0" applyNumberFormat="1" applyFill="1" applyBorder="1" applyAlignment="1">
      <alignment vertical="center"/>
    </xf>
    <xf numFmtId="164" fontId="0" fillId="5" borderId="2" xfId="0" applyNumberFormat="1" applyFont="1" applyFill="1" applyBorder="1" applyProtection="1"/>
    <xf numFmtId="14" fontId="0" fillId="0" borderId="0" xfId="0" applyNumberFormat="1"/>
    <xf numFmtId="0" fontId="5" fillId="0" borderId="0" xfId="0" applyFont="1"/>
    <xf numFmtId="17" fontId="0" fillId="0" borderId="0" xfId="0" applyNumberFormat="1"/>
    <xf numFmtId="14" fontId="0" fillId="3" borderId="6" xfId="0" applyNumberFormat="1" applyFill="1" applyBorder="1"/>
    <xf numFmtId="14" fontId="0" fillId="3" borderId="48" xfId="0" applyNumberFormat="1" applyFont="1" applyFill="1" applyBorder="1"/>
    <xf numFmtId="14" fontId="0" fillId="0" borderId="5" xfId="0" applyNumberFormat="1" applyFont="1" applyBorder="1"/>
    <xf numFmtId="14" fontId="0" fillId="0" borderId="49" xfId="0" applyNumberFormat="1" applyFont="1" applyBorder="1"/>
    <xf numFmtId="0" fontId="0" fillId="0" borderId="6" xfId="0" applyBorder="1" applyAlignment="1">
      <alignment horizontal="center"/>
    </xf>
    <xf numFmtId="0" fontId="0" fillId="0" borderId="6" xfId="0" applyBorder="1" applyAlignment="1">
      <alignment horizontal="center" wrapText="1"/>
    </xf>
    <xf numFmtId="14" fontId="0" fillId="3" borderId="50" xfId="0" applyNumberFormat="1" applyFont="1" applyFill="1" applyBorder="1"/>
    <xf numFmtId="167" fontId="0" fillId="3" borderId="51" xfId="0" applyNumberFormat="1" applyFill="1" applyBorder="1"/>
    <xf numFmtId="14" fontId="0" fillId="0" borderId="52" xfId="0" applyNumberFormat="1" applyFont="1" applyBorder="1"/>
    <xf numFmtId="167" fontId="0" fillId="0" borderId="53" xfId="0" applyNumberFormat="1" applyBorder="1"/>
    <xf numFmtId="14" fontId="0" fillId="0" borderId="54" xfId="0" applyNumberFormat="1" applyFont="1" applyBorder="1"/>
    <xf numFmtId="167" fontId="0" fillId="0" borderId="55" xfId="0" applyNumberFormat="1" applyBorder="1"/>
    <xf numFmtId="167" fontId="0" fillId="3" borderId="56" xfId="0" applyNumberFormat="1" applyFill="1" applyBorder="1"/>
    <xf numFmtId="167" fontId="0" fillId="0" borderId="3" xfId="0" applyNumberFormat="1" applyBorder="1"/>
    <xf numFmtId="167" fontId="0" fillId="0" borderId="57" xfId="0" applyNumberFormat="1" applyBorder="1"/>
    <xf numFmtId="168" fontId="0" fillId="3" borderId="58" xfId="0" applyNumberFormat="1" applyFill="1" applyBorder="1"/>
    <xf numFmtId="168" fontId="0" fillId="0" borderId="59" xfId="0" applyNumberFormat="1" applyBorder="1"/>
    <xf numFmtId="0" fontId="5" fillId="0" borderId="32" xfId="0" applyFont="1" applyBorder="1"/>
    <xf numFmtId="167" fontId="0" fillId="5" borderId="60" xfId="0" applyNumberFormat="1" applyFill="1" applyBorder="1"/>
    <xf numFmtId="167" fontId="0" fillId="5" borderId="61" xfId="0" applyNumberFormat="1" applyFill="1" applyBorder="1"/>
    <xf numFmtId="167" fontId="0" fillId="5" borderId="62" xfId="0" applyNumberFormat="1" applyFill="1" applyBorder="1"/>
    <xf numFmtId="14" fontId="22" fillId="3" borderId="50" xfId="0" applyNumberFormat="1" applyFont="1" applyFill="1" applyBorder="1"/>
    <xf numFmtId="167" fontId="22" fillId="3" borderId="51" xfId="0" applyNumberFormat="1" applyFont="1" applyFill="1" applyBorder="1"/>
    <xf numFmtId="14" fontId="22" fillId="0" borderId="52" xfId="0" applyNumberFormat="1" applyFont="1" applyBorder="1"/>
    <xf numFmtId="167" fontId="22" fillId="0" borderId="53" xfId="0" applyNumberFormat="1" applyFont="1" applyBorder="1"/>
    <xf numFmtId="14" fontId="22" fillId="0" borderId="54" xfId="0" applyNumberFormat="1" applyFont="1" applyBorder="1"/>
    <xf numFmtId="167" fontId="22" fillId="0" borderId="55" xfId="0" applyNumberFormat="1" applyFont="1" applyBorder="1"/>
    <xf numFmtId="0" fontId="22" fillId="3" borderId="6" xfId="0" applyFont="1" applyFill="1" applyBorder="1"/>
    <xf numFmtId="14" fontId="22" fillId="3" borderId="6" xfId="0" applyNumberFormat="1" applyFont="1" applyFill="1" applyBorder="1"/>
    <xf numFmtId="167" fontId="22" fillId="5" borderId="60" xfId="0" applyNumberFormat="1" applyFont="1" applyFill="1" applyBorder="1"/>
    <xf numFmtId="167" fontId="22" fillId="5" borderId="61" xfId="0" applyNumberFormat="1" applyFont="1" applyFill="1" applyBorder="1"/>
    <xf numFmtId="167" fontId="22" fillId="5" borderId="62" xfId="0" applyNumberFormat="1" applyFont="1" applyFill="1" applyBorder="1"/>
    <xf numFmtId="0" fontId="22" fillId="0" borderId="1" xfId="0" applyFont="1" applyBorder="1"/>
    <xf numFmtId="14" fontId="22" fillId="0" borderId="16" xfId="0" applyNumberFormat="1" applyFont="1" applyBorder="1"/>
    <xf numFmtId="14" fontId="22" fillId="0" borderId="18" xfId="0" applyNumberFormat="1" applyFont="1" applyBorder="1"/>
    <xf numFmtId="0" fontId="10" fillId="4" borderId="33" xfId="0" applyFont="1" applyFill="1" applyBorder="1" applyAlignment="1">
      <alignment horizontal="left" vertical="center" wrapText="1" indent="2"/>
    </xf>
    <xf numFmtId="2" fontId="14" fillId="5" borderId="33" xfId="0" applyNumberFormat="1" applyFont="1" applyFill="1" applyBorder="1" applyAlignment="1">
      <alignment horizontal="center" vertical="center" wrapText="1"/>
    </xf>
    <xf numFmtId="2" fontId="14" fillId="5" borderId="0" xfId="0" applyNumberFormat="1" applyFont="1" applyFill="1" applyAlignment="1">
      <alignment horizontal="center" vertical="center" wrapText="1"/>
    </xf>
    <xf numFmtId="2" fontId="14" fillId="5" borderId="34" xfId="0" applyNumberFormat="1" applyFont="1" applyFill="1" applyBorder="1" applyAlignment="1">
      <alignment horizontal="center" vertical="center" wrapText="1"/>
    </xf>
    <xf numFmtId="0" fontId="12" fillId="0" borderId="25" xfId="0" applyFont="1" applyBorder="1" applyAlignment="1">
      <alignment horizontal="left" wrapText="1"/>
    </xf>
    <xf numFmtId="0" fontId="12" fillId="0" borderId="26" xfId="0" applyFont="1" applyBorder="1" applyAlignment="1">
      <alignment horizontal="left" wrapText="1"/>
    </xf>
    <xf numFmtId="0" fontId="12" fillId="0" borderId="27" xfId="0" applyFont="1" applyBorder="1" applyAlignment="1">
      <alignment horizontal="left" wrapText="1"/>
    </xf>
    <xf numFmtId="0" fontId="12" fillId="0" borderId="28" xfId="0" applyFont="1" applyBorder="1" applyAlignment="1">
      <alignment horizontal="left" wrapText="1"/>
    </xf>
    <xf numFmtId="0" fontId="12" fillId="0" borderId="29" xfId="0" applyFont="1" applyBorder="1" applyAlignment="1">
      <alignment horizontal="left" wrapText="1"/>
    </xf>
    <xf numFmtId="0" fontId="12" fillId="0" borderId="30"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5" xfId="0" applyFont="1" applyBorder="1" applyAlignment="1">
      <alignment horizontal="left" wrapText="1"/>
    </xf>
    <xf numFmtId="0" fontId="0" fillId="0" borderId="26" xfId="0" applyFont="1" applyBorder="1" applyAlignment="1">
      <alignment horizontal="left" wrapText="1"/>
    </xf>
    <xf numFmtId="0" fontId="0" fillId="0" borderId="27" xfId="0" applyFont="1" applyBorder="1" applyAlignment="1">
      <alignment horizontal="left" wrapText="1"/>
    </xf>
    <xf numFmtId="0" fontId="0" fillId="0" borderId="29" xfId="0" applyFont="1" applyBorder="1" applyAlignment="1">
      <alignment horizontal="left" wrapText="1"/>
    </xf>
    <xf numFmtId="0" fontId="0" fillId="0" borderId="30" xfId="0" applyFont="1" applyBorder="1" applyAlignment="1">
      <alignment horizontal="left"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7" xfId="0" applyFont="1" applyBorder="1" applyAlignment="1">
      <alignment horizontal="left" vertical="top" wrapText="1"/>
    </xf>
    <xf numFmtId="0" fontId="0" fillId="0" borderId="46" xfId="0" applyFont="1" applyBorder="1" applyAlignment="1">
      <alignment horizontal="left" vertical="top" wrapText="1"/>
    </xf>
    <xf numFmtId="0" fontId="0" fillId="0" borderId="0" xfId="0" applyFont="1" applyBorder="1" applyAlignment="1">
      <alignment horizontal="left" vertical="top" wrapText="1"/>
    </xf>
    <xf numFmtId="0" fontId="0" fillId="0" borderId="47" xfId="0" applyFont="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6" fillId="0" borderId="2" xfId="0" applyFont="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wrapText="1"/>
    </xf>
    <xf numFmtId="0" fontId="7" fillId="5" borderId="5" xfId="0" applyFont="1" applyFill="1" applyBorder="1" applyAlignment="1">
      <alignment horizontal="left" vertical="center" wrapText="1"/>
    </xf>
    <xf numFmtId="0" fontId="7" fillId="0" borderId="2" xfId="0" applyFont="1" applyBorder="1" applyAlignment="1">
      <alignment horizontal="left" vertical="center" wrapText="1"/>
    </xf>
    <xf numFmtId="0" fontId="8" fillId="0" borderId="2" xfId="0" applyFont="1" applyBorder="1" applyAlignment="1">
      <alignment horizontal="left" vertical="center" wrapText="1"/>
    </xf>
    <xf numFmtId="0" fontId="8" fillId="0" borderId="2" xfId="0" applyFont="1" applyBorder="1" applyAlignment="1">
      <alignmen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4" fillId="0" borderId="3"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4" fillId="0" borderId="5" xfId="0" applyFont="1" applyBorder="1" applyAlignment="1" applyProtection="1">
      <alignment horizontal="left" vertical="center" wrapText="1"/>
      <protection locked="0"/>
    </xf>
    <xf numFmtId="0" fontId="14" fillId="0" borderId="2" xfId="0" applyFont="1" applyBorder="1" applyAlignment="1">
      <alignment vertical="center" wrapText="1"/>
    </xf>
    <xf numFmtId="0" fontId="8" fillId="0" borderId="3"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20" fillId="0" borderId="3" xfId="0" quotePrefix="1" applyFont="1" applyBorder="1" applyAlignment="1">
      <alignment horizontal="left" wrapText="1"/>
    </xf>
    <xf numFmtId="0" fontId="20" fillId="0" borderId="4" xfId="0" quotePrefix="1" applyFont="1" applyBorder="1" applyAlignment="1">
      <alignment horizontal="left" wrapText="1"/>
    </xf>
    <xf numFmtId="0" fontId="20" fillId="0" borderId="5" xfId="0" quotePrefix="1" applyFont="1" applyBorder="1" applyAlignment="1">
      <alignment horizontal="left"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23"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7" fillId="0" borderId="2" xfId="0" applyFont="1" applyBorder="1" applyAlignment="1" applyProtection="1">
      <alignment horizontal="left" vertical="center" wrapText="1"/>
      <protection locked="0"/>
    </xf>
    <xf numFmtId="0" fontId="14" fillId="0" borderId="2" xfId="0" applyFont="1" applyBorder="1" applyAlignment="1">
      <alignment horizontal="left" vertical="center" wrapText="1"/>
    </xf>
    <xf numFmtId="0" fontId="8" fillId="0" borderId="26" xfId="0" applyFont="1" applyBorder="1" applyAlignment="1">
      <alignment horizontal="left" vertical="center"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5" fillId="0" borderId="14" xfId="0" applyFont="1" applyBorder="1" applyAlignment="1">
      <alignment horizontal="center"/>
    </xf>
    <xf numFmtId="0" fontId="5" fillId="0" borderId="15" xfId="0" applyFont="1" applyBorder="1" applyAlignment="1">
      <alignment horizontal="center"/>
    </xf>
    <xf numFmtId="14" fontId="5" fillId="0" borderId="20" xfId="0" applyNumberFormat="1" applyFont="1" applyBorder="1" applyAlignment="1">
      <alignment horizontal="center"/>
    </xf>
    <xf numFmtId="14" fontId="5" fillId="0" borderId="19" xfId="0" applyNumberFormat="1" applyFont="1" applyBorder="1" applyAlignment="1">
      <alignment horizontal="center"/>
    </xf>
    <xf numFmtId="14" fontId="5" fillId="0" borderId="21" xfId="0" applyNumberFormat="1" applyFont="1" applyBorder="1" applyAlignment="1">
      <alignment horizontal="center"/>
    </xf>
  </cellXfs>
  <cellStyles count="6">
    <cellStyle name="Normal" xfId="0" builtinId="0" customBuiltin="1"/>
    <cellStyle name="Normal 2" xfId="2" xr:uid="{00000000-0005-0000-0000-000001000000}"/>
    <cellStyle name="Normal 2 2" xfId="3" xr:uid="{00000000-0005-0000-0000-000002000000}"/>
    <cellStyle name="Normal 2 3" xfId="5" xr:uid="{00000000-0005-0000-0000-000003000000}"/>
    <cellStyle name="Normal 3" xfId="4" xr:uid="{00000000-0005-0000-0000-000004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LCP 1">
      <a:dk1>
        <a:sysClr val="windowText" lastClr="000000"/>
      </a:dk1>
      <a:lt1>
        <a:sysClr val="window" lastClr="FFFFFF"/>
      </a:lt1>
      <a:dk2>
        <a:srgbClr val="00A3C7"/>
      </a:dk2>
      <a:lt2>
        <a:srgbClr val="7BD0E2"/>
      </a:lt2>
      <a:accent1>
        <a:srgbClr val="00421C"/>
      </a:accent1>
      <a:accent2>
        <a:srgbClr val="9DD2A0"/>
      </a:accent2>
      <a:accent3>
        <a:srgbClr val="401664"/>
      </a:accent3>
      <a:accent4>
        <a:srgbClr val="C3A1CC"/>
      </a:accent4>
      <a:accent5>
        <a:srgbClr val="840034"/>
      </a:accent5>
      <a:accent6>
        <a:srgbClr val="F6A0A0"/>
      </a:accent6>
      <a:hlink>
        <a:srgbClr val="002F5F"/>
      </a:hlink>
      <a:folHlink>
        <a:srgbClr val="95D1F2"/>
      </a:folHlink>
    </a:clrScheme>
    <a:fontScheme name="LCP Theme Fonts">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0"/>
  <sheetViews>
    <sheetView zoomScaleNormal="100" zoomScaleSheetLayoutView="100" workbookViewId="0">
      <selection activeCell="A3" sqref="A3"/>
    </sheetView>
  </sheetViews>
  <sheetFormatPr defaultColWidth="0" defaultRowHeight="12.75" zeroHeight="1" x14ac:dyDescent="0.2"/>
  <cols>
    <col min="1" max="1" width="116.85546875" style="29" customWidth="1"/>
    <col min="2" max="13" width="0" style="9" hidden="1" customWidth="1"/>
    <col min="14" max="16384" width="9.140625" style="9" hidden="1"/>
  </cols>
  <sheetData>
    <row r="1" spans="1:1" ht="27" customHeight="1" x14ac:dyDescent="0.2">
      <c r="A1" s="118" t="s">
        <v>91</v>
      </c>
    </row>
    <row r="2" spans="1:1" ht="12.75" customHeight="1" x14ac:dyDescent="0.2">
      <c r="A2" s="118"/>
    </row>
    <row r="3" spans="1:1" ht="163.15" customHeight="1" x14ac:dyDescent="0.2">
      <c r="A3" s="146" t="s">
        <v>125</v>
      </c>
    </row>
    <row r="4" spans="1:1" x14ac:dyDescent="0.2">
      <c r="A4" s="146"/>
    </row>
    <row r="5" spans="1:1" ht="12.75" customHeight="1" x14ac:dyDescent="0.2">
      <c r="A5" s="118"/>
    </row>
    <row r="6" spans="1:1" x14ac:dyDescent="0.2">
      <c r="A6" s="140" t="s">
        <v>102</v>
      </c>
    </row>
    <row r="7" spans="1:1" x14ac:dyDescent="0.2">
      <c r="A7" s="128"/>
    </row>
    <row r="8" spans="1:1" x14ac:dyDescent="0.2">
      <c r="A8" s="117" t="s">
        <v>103</v>
      </c>
    </row>
    <row r="9" spans="1:1" x14ac:dyDescent="0.2">
      <c r="A9" s="117"/>
    </row>
    <row r="10" spans="1:1" x14ac:dyDescent="0.2">
      <c r="A10" s="117" t="s">
        <v>104</v>
      </c>
    </row>
    <row r="11" spans="1:1" x14ac:dyDescent="0.2">
      <c r="A11" s="117"/>
    </row>
    <row r="12" spans="1:1" ht="38.25" x14ac:dyDescent="0.2">
      <c r="A12" s="117" t="s">
        <v>105</v>
      </c>
    </row>
    <row r="13" spans="1:1" x14ac:dyDescent="0.2">
      <c r="A13" s="117"/>
    </row>
    <row r="14" spans="1:1" ht="38.25" x14ac:dyDescent="0.2">
      <c r="A14" s="117" t="s">
        <v>115</v>
      </c>
    </row>
    <row r="15" spans="1:1" x14ac:dyDescent="0.2">
      <c r="A15" s="117"/>
    </row>
    <row r="16" spans="1:1" x14ac:dyDescent="0.2">
      <c r="A16" s="117"/>
    </row>
    <row r="17" spans="1:1" x14ac:dyDescent="0.2">
      <c r="A17" s="140" t="s">
        <v>77</v>
      </c>
    </row>
    <row r="18" spans="1:1" x14ac:dyDescent="0.2">
      <c r="A18" s="128"/>
    </row>
    <row r="19" spans="1:1" ht="44.25" customHeight="1" x14ac:dyDescent="0.2">
      <c r="A19" s="117" t="s">
        <v>116</v>
      </c>
    </row>
    <row r="20" spans="1:1" x14ac:dyDescent="0.2">
      <c r="A20" s="117"/>
    </row>
    <row r="21" spans="1:1" ht="28.5" customHeight="1" x14ac:dyDescent="0.2">
      <c r="A21" s="117" t="s">
        <v>138</v>
      </c>
    </row>
    <row r="22" spans="1:1" x14ac:dyDescent="0.2">
      <c r="A22" s="117"/>
    </row>
    <row r="23" spans="1:1" ht="51" x14ac:dyDescent="0.2">
      <c r="A23" s="117" t="s">
        <v>98</v>
      </c>
    </row>
    <row r="24" spans="1:1" x14ac:dyDescent="0.2">
      <c r="A24" s="117"/>
    </row>
    <row r="25" spans="1:1" ht="26.25" customHeight="1" x14ac:dyDescent="0.2">
      <c r="A25" s="29" t="s">
        <v>106</v>
      </c>
    </row>
    <row r="26" spans="1:1" x14ac:dyDescent="0.2"/>
    <row r="27" spans="1:1" x14ac:dyDescent="0.2">
      <c r="A27" s="29" t="s">
        <v>81</v>
      </c>
    </row>
    <row r="28" spans="1:1" x14ac:dyDescent="0.2"/>
    <row r="29" spans="1:1" x14ac:dyDescent="0.2">
      <c r="A29" s="29" t="s">
        <v>108</v>
      </c>
    </row>
    <row r="30" spans="1:1" x14ac:dyDescent="0.2"/>
    <row r="31" spans="1:1" x14ac:dyDescent="0.2">
      <c r="A31" s="29" t="s">
        <v>107</v>
      </c>
    </row>
    <row r="32" spans="1:1" x14ac:dyDescent="0.2"/>
    <row r="33" spans="1:1" ht="38.25" x14ac:dyDescent="0.2">
      <c r="A33" s="29" t="s">
        <v>126</v>
      </c>
    </row>
    <row r="34" spans="1:1" x14ac:dyDescent="0.2"/>
    <row r="35" spans="1:1" x14ac:dyDescent="0.2">
      <c r="A35" s="29" t="s">
        <v>90</v>
      </c>
    </row>
    <row r="36" spans="1:1" x14ac:dyDescent="0.2"/>
    <row r="37" spans="1:1" x14ac:dyDescent="0.2"/>
    <row r="38" spans="1:1" x14ac:dyDescent="0.2">
      <c r="A38" s="140" t="s">
        <v>82</v>
      </c>
    </row>
    <row r="39" spans="1:1" x14ac:dyDescent="0.2">
      <c r="A39" s="119"/>
    </row>
    <row r="40" spans="1:1" x14ac:dyDescent="0.2">
      <c r="A40" s="29" t="s">
        <v>127</v>
      </c>
    </row>
    <row r="41" spans="1:1" x14ac:dyDescent="0.2">
      <c r="A41" s="120" t="s">
        <v>128</v>
      </c>
    </row>
    <row r="42" spans="1:1" x14ac:dyDescent="0.2">
      <c r="A42" s="120" t="s">
        <v>129</v>
      </c>
    </row>
    <row r="43" spans="1:1" ht="51" x14ac:dyDescent="0.2">
      <c r="A43" s="120" t="s">
        <v>136</v>
      </c>
    </row>
    <row r="44" spans="1:1" x14ac:dyDescent="0.2">
      <c r="A44" s="120" t="s">
        <v>130</v>
      </c>
    </row>
    <row r="45" spans="1:1" ht="38.25" x14ac:dyDescent="0.2">
      <c r="A45" s="120" t="s">
        <v>131</v>
      </c>
    </row>
    <row r="46" spans="1:1" x14ac:dyDescent="0.2">
      <c r="A46" s="120"/>
    </row>
    <row r="47" spans="1:1" x14ac:dyDescent="0.2">
      <c r="A47" s="29" t="s">
        <v>78</v>
      </c>
    </row>
    <row r="48" spans="1:1" x14ac:dyDescent="0.2"/>
    <row r="49" spans="1:1" x14ac:dyDescent="0.2"/>
    <row r="50" spans="1:1" x14ac:dyDescent="0.2">
      <c r="A50" s="140" t="s">
        <v>83</v>
      </c>
    </row>
    <row r="51" spans="1:1" x14ac:dyDescent="0.2">
      <c r="A51" s="119"/>
    </row>
    <row r="52" spans="1:1" ht="38.25" x14ac:dyDescent="0.2">
      <c r="A52" s="29" t="s">
        <v>132</v>
      </c>
    </row>
    <row r="53" spans="1:1" x14ac:dyDescent="0.2"/>
    <row r="54" spans="1:1" x14ac:dyDescent="0.2">
      <c r="A54" s="29" t="s">
        <v>79</v>
      </c>
    </row>
    <row r="55" spans="1:1" x14ac:dyDescent="0.2">
      <c r="A55" s="120" t="s">
        <v>84</v>
      </c>
    </row>
    <row r="56" spans="1:1" x14ac:dyDescent="0.2">
      <c r="A56" s="120" t="s">
        <v>80</v>
      </c>
    </row>
    <row r="57" spans="1:1" x14ac:dyDescent="0.2">
      <c r="A57" s="120"/>
    </row>
    <row r="58" spans="1:1" x14ac:dyDescent="0.2">
      <c r="A58" s="120" t="s">
        <v>85</v>
      </c>
    </row>
    <row r="59" spans="1:1" x14ac:dyDescent="0.2">
      <c r="A59" s="120"/>
    </row>
    <row r="60" spans="1:1" ht="25.5" x14ac:dyDescent="0.2">
      <c r="A60" s="29" t="s">
        <v>133</v>
      </c>
    </row>
    <row r="61" spans="1:1" x14ac:dyDescent="0.2"/>
    <row r="62" spans="1:1" x14ac:dyDescent="0.2">
      <c r="A62" s="29" t="s">
        <v>134</v>
      </c>
    </row>
    <row r="63" spans="1:1" x14ac:dyDescent="0.2"/>
    <row r="64" spans="1:1" x14ac:dyDescent="0.2"/>
    <row r="65" spans="1:1" x14ac:dyDescent="0.2">
      <c r="A65" s="140" t="s">
        <v>86</v>
      </c>
    </row>
    <row r="66" spans="1:1" x14ac:dyDescent="0.2">
      <c r="A66" s="119"/>
    </row>
    <row r="67" spans="1:1" x14ac:dyDescent="0.2">
      <c r="A67" s="29" t="s">
        <v>89</v>
      </c>
    </row>
    <row r="68" spans="1:1" x14ac:dyDescent="0.2">
      <c r="A68" s="121"/>
    </row>
    <row r="69" spans="1:1" ht="38.25" x14ac:dyDescent="0.2">
      <c r="A69" s="121" t="s">
        <v>124</v>
      </c>
    </row>
    <row r="70" spans="1:1" x14ac:dyDescent="0.2">
      <c r="A70" s="121"/>
    </row>
    <row r="71" spans="1:1" x14ac:dyDescent="0.2">
      <c r="A71" s="29" t="s">
        <v>109</v>
      </c>
    </row>
    <row r="72" spans="1:1" x14ac:dyDescent="0.2"/>
    <row r="73" spans="1:1" ht="25.5" x14ac:dyDescent="0.2">
      <c r="A73" s="29" t="s">
        <v>110</v>
      </c>
    </row>
    <row r="74" spans="1:1" x14ac:dyDescent="0.2"/>
    <row r="75" spans="1:1" x14ac:dyDescent="0.2">
      <c r="A75" s="29" t="s">
        <v>87</v>
      </c>
    </row>
    <row r="76" spans="1:1" x14ac:dyDescent="0.2">
      <c r="A76" s="120" t="s">
        <v>111</v>
      </c>
    </row>
    <row r="77" spans="1:1" x14ac:dyDescent="0.2">
      <c r="A77" s="120" t="s">
        <v>88</v>
      </c>
    </row>
    <row r="78" spans="1:1" x14ac:dyDescent="0.2">
      <c r="A78" s="120"/>
    </row>
    <row r="79" spans="1:1" x14ac:dyDescent="0.2">
      <c r="A79" s="122" t="s">
        <v>112</v>
      </c>
    </row>
    <row r="80" spans="1:1" ht="38.25" x14ac:dyDescent="0.2">
      <c r="A80" s="122" t="s">
        <v>113</v>
      </c>
    </row>
    <row r="81" spans="1:1" x14ac:dyDescent="0.2">
      <c r="A81" s="122" t="s">
        <v>114</v>
      </c>
    </row>
    <row r="82" spans="1:1" hidden="1" x14ac:dyDescent="0.2"/>
    <row r="83" spans="1:1" hidden="1" x14ac:dyDescent="0.2"/>
    <row r="84" spans="1:1" x14ac:dyDescent="0.2"/>
    <row r="85" spans="1:1" x14ac:dyDescent="0.2"/>
    <row r="86" spans="1:1" x14ac:dyDescent="0.2"/>
    <row r="87" spans="1:1" x14ac:dyDescent="0.2"/>
    <row r="88" spans="1:1" x14ac:dyDescent="0.2"/>
    <row r="89" spans="1:1" x14ac:dyDescent="0.2"/>
    <row r="90" spans="1:1" x14ac:dyDescent="0.2"/>
  </sheetData>
  <sheetProtection algorithmName="SHA-512" hashValue="cn3oRjx9nTwEc90ghzPHNqT+LBtMUwZJepk79d0uCLEnAmBaYeGhZ/7m3YHjQL0DEUOZCsjFOjPvjPmLAsi9Lg==" saltValue="ZfxPZRny27zxJlcRcjkqSg==" spinCount="100000" sheet="1" formatCells="0" formatColumns="0" formatRows="0" selectLockedCells="1"/>
  <pageMargins left="0.70866141732283472" right="0.70866141732283472" top="0.74803149606299213" bottom="0.74803149606299213" header="0.31496062992125984" footer="0.31496062992125984"/>
  <pageSetup paperSize="9" scale="92" orientation="portrait" r:id="rId1"/>
  <headerFooter>
    <oddFooter>&amp;L&amp;"Arial,Regular"&amp;8Page &amp;P of &amp;N&amp;R&amp;"Arial,Regular"&amp;8&amp;F[&amp;A]</oddFooter>
  </headerFooter>
  <rowBreaks count="1" manualBreakCount="1">
    <brk id="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3"/>
  <sheetViews>
    <sheetView tabSelected="1" zoomScaleNormal="100" zoomScaleSheetLayoutView="115" workbookViewId="0">
      <selection activeCell="B6" sqref="B6"/>
    </sheetView>
  </sheetViews>
  <sheetFormatPr defaultColWidth="0" defaultRowHeight="12.75" zeroHeight="1" x14ac:dyDescent="0.2"/>
  <cols>
    <col min="1" max="1" width="42.28515625" style="1" customWidth="1"/>
    <col min="2" max="2" width="20.140625" style="1" customWidth="1"/>
    <col min="3" max="3" width="17.28515625" style="1" customWidth="1"/>
    <col min="4" max="4" width="17" style="1" customWidth="1"/>
    <col min="5" max="5" width="20.85546875" style="1" customWidth="1"/>
    <col min="6" max="6" width="17.42578125" style="1" bestFit="1" customWidth="1"/>
    <col min="7" max="7" width="13.5703125" style="1" customWidth="1"/>
    <col min="8" max="8" width="9.140625" style="1" customWidth="1"/>
    <col min="9" max="16384" width="9.140625" style="1" hidden="1"/>
  </cols>
  <sheetData>
    <row r="1" spans="1:8" x14ac:dyDescent="0.2">
      <c r="A1" s="80" t="s">
        <v>45</v>
      </c>
    </row>
    <row r="2" spans="1:8" x14ac:dyDescent="0.2">
      <c r="A2" s="126" t="s">
        <v>46</v>
      </c>
      <c r="B2" s="127"/>
      <c r="C2" s="127"/>
      <c r="D2" s="127"/>
    </row>
    <row r="3" spans="1:8" x14ac:dyDescent="0.2"/>
    <row r="4" spans="1:8" ht="15.75" x14ac:dyDescent="0.25">
      <c r="A4" s="2" t="s">
        <v>43</v>
      </c>
      <c r="B4" s="141"/>
      <c r="C4" s="79" t="str">
        <f>IF(B4="","Input required","")</f>
        <v>Input required</v>
      </c>
    </row>
    <row r="5" spans="1:8" ht="15" x14ac:dyDescent="0.2">
      <c r="A5" s="3"/>
    </row>
    <row r="6" spans="1:8" ht="15.75" x14ac:dyDescent="0.25">
      <c r="A6" s="2" t="s">
        <v>1</v>
      </c>
      <c r="B6" s="142">
        <v>43251</v>
      </c>
      <c r="C6" s="78" t="str">
        <f>IF(DAY(Accounting_date)&lt;&gt;DAY(EOMONTH(Accounting_date,0)),"ERROR: accounting date must be at a month end","")</f>
        <v/>
      </c>
      <c r="D6" s="191" t="str">
        <f>IF(Accounting_date&gt;DATE(2016,4,30),"Default assumptions are not automatically available for accounting dates after 30 April 2016.  If you wish to use the default rate, you will have to look these up on the the Baptist Pensions website and enter them in the lavender cells below.","")</f>
        <v>Default assumptions are not automatically available for accounting dates after 30 April 2016.  If you wish to use the default rate, you will have to look these up on the the Baptist Pensions website and enter them in the lavender cells below.</v>
      </c>
      <c r="E6" s="192"/>
      <c r="F6" s="192"/>
      <c r="G6" s="192"/>
      <c r="H6" s="193"/>
    </row>
    <row r="7" spans="1:8" ht="24" customHeight="1" x14ac:dyDescent="0.25">
      <c r="A7" s="2"/>
      <c r="B7" s="148"/>
      <c r="C7" s="78"/>
      <c r="D7" s="194"/>
      <c r="E7" s="195"/>
      <c r="F7" s="195"/>
      <c r="G7" s="195"/>
      <c r="H7" s="196"/>
    </row>
    <row r="8" spans="1:8" ht="12.75" customHeight="1" x14ac:dyDescent="0.2"/>
    <row r="9" spans="1:8" ht="15.75" customHeight="1" x14ac:dyDescent="0.25">
      <c r="A9" s="2" t="s">
        <v>149</v>
      </c>
      <c r="B9" s="143">
        <v>0.12</v>
      </c>
      <c r="C9" s="204" t="s">
        <v>135</v>
      </c>
      <c r="D9" s="205"/>
      <c r="E9" s="205"/>
      <c r="F9" s="205"/>
      <c r="G9" s="206"/>
    </row>
    <row r="10" spans="1:8" ht="49.5" customHeight="1" x14ac:dyDescent="0.2">
      <c r="B10" s="79" t="str">
        <f>IF(percentage_cont="","Input required","")</f>
        <v/>
      </c>
      <c r="C10" s="210"/>
      <c r="D10" s="211"/>
      <c r="E10" s="211"/>
      <c r="F10" s="211"/>
      <c r="G10" s="212"/>
    </row>
    <row r="11" spans="1:8" x14ac:dyDescent="0.2">
      <c r="A11" s="76"/>
      <c r="B11" s="77"/>
      <c r="C11" s="62"/>
    </row>
    <row r="12" spans="1:8" ht="15.75" x14ac:dyDescent="0.25">
      <c r="A12" s="197" t="s">
        <v>117</v>
      </c>
      <c r="B12" s="198"/>
      <c r="C12" s="199"/>
    </row>
    <row r="13" spans="1:8" ht="15.75" x14ac:dyDescent="0.25">
      <c r="A13" s="73"/>
      <c r="B13" s="74"/>
      <c r="C13" s="75"/>
    </row>
    <row r="14" spans="1:8" x14ac:dyDescent="0.2">
      <c r="A14" s="6" t="s">
        <v>118</v>
      </c>
      <c r="B14" s="7">
        <f>EOMONTH(Accounting_date,1)</f>
        <v>43281</v>
      </c>
      <c r="C14" s="144"/>
      <c r="D14" s="79" t="str">
        <f>IF(C14="","ERROR - input required","")</f>
        <v>ERROR - input required</v>
      </c>
    </row>
    <row r="15" spans="1:8" ht="15.75" x14ac:dyDescent="0.25">
      <c r="A15" s="73"/>
      <c r="B15" s="74"/>
      <c r="C15" s="75"/>
    </row>
    <row r="16" spans="1:8" x14ac:dyDescent="0.2">
      <c r="C16" s="4" t="s">
        <v>2</v>
      </c>
      <c r="F16" s="5" t="s">
        <v>3</v>
      </c>
    </row>
    <row r="17" spans="1:7" x14ac:dyDescent="0.2">
      <c r="A17" s="6" t="s">
        <v>118</v>
      </c>
      <c r="B17" s="7">
        <f>Accounting_date</f>
        <v>43251</v>
      </c>
      <c r="C17" s="144"/>
      <c r="D17" s="79" t="str">
        <f>IF(C17="","Input required","")</f>
        <v>Input required</v>
      </c>
      <c r="E17" s="7">
        <f>EOMONTH(B28,-1)</f>
        <v>42886</v>
      </c>
      <c r="F17" s="144"/>
      <c r="G17" s="79" t="str">
        <f>IF(F17="","Input required","")</f>
        <v>Input required</v>
      </c>
    </row>
    <row r="18" spans="1:7" x14ac:dyDescent="0.2">
      <c r="A18" s="6"/>
      <c r="B18" s="7">
        <f>EOMONTH(B17,-1)</f>
        <v>43220</v>
      </c>
      <c r="C18" s="144"/>
      <c r="D18" s="79" t="str">
        <f t="shared" ref="D18:D28" si="0">IF(C18="","Input required","")</f>
        <v>Input required</v>
      </c>
      <c r="E18" s="7">
        <f t="shared" ref="E18:E28" si="1">EOMONTH(E17,-1)</f>
        <v>42855</v>
      </c>
      <c r="F18" s="144"/>
      <c r="G18" s="79" t="str">
        <f t="shared" ref="G18:G28" si="2">IF(F18="","Input required","")</f>
        <v>Input required</v>
      </c>
    </row>
    <row r="19" spans="1:7" x14ac:dyDescent="0.2">
      <c r="A19" s="6"/>
      <c r="B19" s="7">
        <f t="shared" ref="B19:B28" si="3">EOMONTH(B18,-1)</f>
        <v>43190</v>
      </c>
      <c r="C19" s="144"/>
      <c r="D19" s="79" t="str">
        <f t="shared" si="0"/>
        <v>Input required</v>
      </c>
      <c r="E19" s="7">
        <f t="shared" si="1"/>
        <v>42825</v>
      </c>
      <c r="F19" s="144"/>
      <c r="G19" s="79" t="str">
        <f t="shared" si="2"/>
        <v>Input required</v>
      </c>
    </row>
    <row r="20" spans="1:7" x14ac:dyDescent="0.2">
      <c r="A20" s="6"/>
      <c r="B20" s="7">
        <f t="shared" si="3"/>
        <v>43159</v>
      </c>
      <c r="C20" s="144"/>
      <c r="D20" s="79" t="str">
        <f t="shared" si="0"/>
        <v>Input required</v>
      </c>
      <c r="E20" s="7">
        <f t="shared" si="1"/>
        <v>42794</v>
      </c>
      <c r="F20" s="144"/>
      <c r="G20" s="79" t="str">
        <f t="shared" si="2"/>
        <v>Input required</v>
      </c>
    </row>
    <row r="21" spans="1:7" x14ac:dyDescent="0.2">
      <c r="A21" s="6"/>
      <c r="B21" s="7">
        <f t="shared" si="3"/>
        <v>43131</v>
      </c>
      <c r="C21" s="144"/>
      <c r="D21" s="79" t="str">
        <f t="shared" si="0"/>
        <v>Input required</v>
      </c>
      <c r="E21" s="7">
        <f t="shared" si="1"/>
        <v>42766</v>
      </c>
      <c r="F21" s="144"/>
      <c r="G21" s="79" t="str">
        <f t="shared" si="2"/>
        <v>Input required</v>
      </c>
    </row>
    <row r="22" spans="1:7" x14ac:dyDescent="0.2">
      <c r="A22" s="6"/>
      <c r="B22" s="7">
        <f t="shared" si="3"/>
        <v>43100</v>
      </c>
      <c r="C22" s="144"/>
      <c r="D22" s="79" t="str">
        <f t="shared" si="0"/>
        <v>Input required</v>
      </c>
      <c r="E22" s="7">
        <f t="shared" si="1"/>
        <v>42735</v>
      </c>
      <c r="F22" s="144"/>
      <c r="G22" s="79" t="str">
        <f t="shared" si="2"/>
        <v>Input required</v>
      </c>
    </row>
    <row r="23" spans="1:7" x14ac:dyDescent="0.2">
      <c r="A23" s="6"/>
      <c r="B23" s="7">
        <f t="shared" si="3"/>
        <v>43069</v>
      </c>
      <c r="C23" s="144"/>
      <c r="D23" s="79" t="str">
        <f t="shared" si="0"/>
        <v>Input required</v>
      </c>
      <c r="E23" s="7">
        <f t="shared" si="1"/>
        <v>42704</v>
      </c>
      <c r="F23" s="144"/>
      <c r="G23" s="79" t="str">
        <f t="shared" si="2"/>
        <v>Input required</v>
      </c>
    </row>
    <row r="24" spans="1:7" x14ac:dyDescent="0.2">
      <c r="A24" s="6"/>
      <c r="B24" s="7">
        <f t="shared" si="3"/>
        <v>43039</v>
      </c>
      <c r="C24" s="144"/>
      <c r="D24" s="79" t="str">
        <f t="shared" si="0"/>
        <v>Input required</v>
      </c>
      <c r="E24" s="7">
        <f t="shared" si="1"/>
        <v>42674</v>
      </c>
      <c r="F24" s="144"/>
      <c r="G24" s="79" t="str">
        <f t="shared" si="2"/>
        <v>Input required</v>
      </c>
    </row>
    <row r="25" spans="1:7" x14ac:dyDescent="0.2">
      <c r="A25" s="6"/>
      <c r="B25" s="7">
        <f t="shared" si="3"/>
        <v>43008</v>
      </c>
      <c r="C25" s="144"/>
      <c r="D25" s="79" t="str">
        <f t="shared" si="0"/>
        <v>Input required</v>
      </c>
      <c r="E25" s="7">
        <f t="shared" si="1"/>
        <v>42643</v>
      </c>
      <c r="F25" s="144"/>
      <c r="G25" s="79" t="str">
        <f t="shared" si="2"/>
        <v>Input required</v>
      </c>
    </row>
    <row r="26" spans="1:7" x14ac:dyDescent="0.2">
      <c r="A26" s="6"/>
      <c r="B26" s="7">
        <f t="shared" si="3"/>
        <v>42978</v>
      </c>
      <c r="C26" s="144"/>
      <c r="D26" s="79" t="str">
        <f t="shared" si="0"/>
        <v>Input required</v>
      </c>
      <c r="E26" s="7">
        <f t="shared" si="1"/>
        <v>42613</v>
      </c>
      <c r="F26" s="144"/>
      <c r="G26" s="79" t="str">
        <f t="shared" si="2"/>
        <v>Input required</v>
      </c>
    </row>
    <row r="27" spans="1:7" x14ac:dyDescent="0.2">
      <c r="A27" s="6"/>
      <c r="B27" s="7">
        <f t="shared" si="3"/>
        <v>42947</v>
      </c>
      <c r="C27" s="144"/>
      <c r="D27" s="79" t="str">
        <f t="shared" si="0"/>
        <v>Input required</v>
      </c>
      <c r="E27" s="7">
        <f t="shared" si="1"/>
        <v>42582</v>
      </c>
      <c r="F27" s="144"/>
      <c r="G27" s="79" t="str">
        <f t="shared" si="2"/>
        <v>Input required</v>
      </c>
    </row>
    <row r="28" spans="1:7" x14ac:dyDescent="0.2">
      <c r="A28" s="6"/>
      <c r="B28" s="7">
        <f t="shared" si="3"/>
        <v>42916</v>
      </c>
      <c r="C28" s="144"/>
      <c r="D28" s="79" t="str">
        <f t="shared" si="0"/>
        <v>Input required</v>
      </c>
      <c r="E28" s="7">
        <f t="shared" si="1"/>
        <v>42551</v>
      </c>
      <c r="F28" s="144"/>
      <c r="G28" s="79" t="str">
        <f t="shared" si="2"/>
        <v>Input required</v>
      </c>
    </row>
    <row r="29" spans="1:7" x14ac:dyDescent="0.2">
      <c r="A29" s="6"/>
    </row>
    <row r="30" spans="1:7" x14ac:dyDescent="0.2">
      <c r="B30" s="5" t="s">
        <v>5</v>
      </c>
      <c r="C30" s="8">
        <f>SUM(C17:C28)</f>
        <v>0</v>
      </c>
      <c r="F30" s="8">
        <f>SUM(F17:F28)</f>
        <v>0</v>
      </c>
    </row>
    <row r="31" spans="1:7" x14ac:dyDescent="0.2"/>
    <row r="32" spans="1:7" ht="15.75" x14ac:dyDescent="0.25">
      <c r="A32" s="197" t="s">
        <v>74</v>
      </c>
      <c r="B32" s="198"/>
      <c r="C32" s="199"/>
      <c r="D32" s="63"/>
    </row>
    <row r="33" spans="1:7" x14ac:dyDescent="0.2">
      <c r="A33" s="39"/>
      <c r="B33" s="72">
        <f>Accounting_date</f>
        <v>43251</v>
      </c>
      <c r="C33" s="72">
        <f>EOMONTH(B33,-12)</f>
        <v>42886</v>
      </c>
      <c r="D33" s="72">
        <f>EOMONTH(C33,-12)</f>
        <v>42521</v>
      </c>
      <c r="E33" s="62"/>
    </row>
    <row r="34" spans="1:7" ht="12.75" customHeight="1" x14ac:dyDescent="0.2">
      <c r="A34" s="39" t="s">
        <v>47</v>
      </c>
      <c r="B34" s="67" t="e">
        <f>INDEX(DR_yields,MATCH(B33,Yield_dates,0),)</f>
        <v>#N/A</v>
      </c>
      <c r="C34" s="67" t="e">
        <f>INDEX(DR_yields,MATCH(C33,Yield_dates,0),)</f>
        <v>#N/A</v>
      </c>
      <c r="D34" s="67" t="e">
        <f>INDEX(DR_yields,MATCH(D33,Yield_dates,0),)</f>
        <v>#N/A</v>
      </c>
      <c r="E34" s="200" t="s">
        <v>42</v>
      </c>
      <c r="F34" s="200"/>
      <c r="G34" s="201"/>
    </row>
    <row r="35" spans="1:7" x14ac:dyDescent="0.2">
      <c r="A35" s="39" t="s">
        <v>48</v>
      </c>
      <c r="B35" s="66" t="e">
        <f>INDEX(Inflation_yields,MATCH(B33,Yield_dates,0),)</f>
        <v>#N/A</v>
      </c>
      <c r="C35" s="66" t="e">
        <f>INDEX(Inflation_yields,MATCH(C33,Yield_dates,0),)</f>
        <v>#N/A</v>
      </c>
      <c r="D35" s="66" t="e">
        <f>INDEX(Inflation_yields,MATCH(D33,Yield_dates,0),)</f>
        <v>#N/A</v>
      </c>
      <c r="E35" s="202"/>
      <c r="F35" s="202"/>
      <c r="G35" s="203"/>
    </row>
    <row r="36" spans="1:7" x14ac:dyDescent="0.2">
      <c r="B36" s="64"/>
      <c r="C36" s="65"/>
      <c r="D36" s="65"/>
    </row>
    <row r="37" spans="1:7" x14ac:dyDescent="0.2">
      <c r="A37" s="5" t="s">
        <v>44</v>
      </c>
    </row>
    <row r="38" spans="1:7" ht="12.75" customHeight="1" x14ac:dyDescent="0.2">
      <c r="A38" s="9" t="s">
        <v>14</v>
      </c>
      <c r="B38" s="145"/>
      <c r="C38" s="145"/>
      <c r="D38" s="145"/>
      <c r="E38" s="204" t="s">
        <v>119</v>
      </c>
      <c r="F38" s="205"/>
      <c r="G38" s="206"/>
    </row>
    <row r="39" spans="1:7" x14ac:dyDescent="0.2">
      <c r="A39" s="9" t="s">
        <v>75</v>
      </c>
      <c r="B39" s="145"/>
      <c r="C39" s="145"/>
      <c r="D39" s="145"/>
      <c r="E39" s="207"/>
      <c r="F39" s="208"/>
      <c r="G39" s="209"/>
    </row>
    <row r="40" spans="1:7" x14ac:dyDescent="0.2">
      <c r="E40" s="207"/>
      <c r="F40" s="208"/>
      <c r="G40" s="209"/>
    </row>
    <row r="41" spans="1:7" x14ac:dyDescent="0.2">
      <c r="A41" s="69" t="s">
        <v>49</v>
      </c>
      <c r="E41" s="207"/>
      <c r="F41" s="208"/>
      <c r="G41" s="209"/>
    </row>
    <row r="42" spans="1:7" x14ac:dyDescent="0.2">
      <c r="E42" s="207"/>
      <c r="F42" s="208"/>
      <c r="G42" s="209"/>
    </row>
    <row r="43" spans="1:7" x14ac:dyDescent="0.2">
      <c r="E43" s="210"/>
      <c r="F43" s="211"/>
      <c r="G43" s="212"/>
    </row>
  </sheetData>
  <sheetProtection algorithmName="SHA-512" hashValue="eWuX6G2MjvyNe2aAwyMmH/KUQ4FpJWWCqLHE9iXVoSi/RHI5TUW7h0kqcJKrPeBesuWbWgyk7miAm+pp98uKbQ==" saltValue="8eVNc2wNqYwY9FPAuxMysg==" spinCount="100000" sheet="1" formatCells="0" formatColumns="0" formatRows="0" selectLockedCells="1"/>
  <mergeCells count="6">
    <mergeCell ref="D6:H7"/>
    <mergeCell ref="A12:C12"/>
    <mergeCell ref="E34:G35"/>
    <mergeCell ref="A32:C32"/>
    <mergeCell ref="E38:G43"/>
    <mergeCell ref="C9:G10"/>
  </mergeCells>
  <dataValidations count="3">
    <dataValidation type="decimal" allowBlank="1" showErrorMessage="1" errorTitle="Assumptions" error="Please enter a figure between 0% and 10%" sqref="B38:D39" xr:uid="{00000000-0002-0000-0100-000000000000}">
      <formula1>0</formula1>
      <formula2>0.1</formula2>
    </dataValidation>
    <dataValidation type="date" operator="greaterThanOrEqual" allowBlank="1" showInputMessage="1" showErrorMessage="1" prompt="Accounting date must be month end on or after 30 June 2015" sqref="B6:B7" xr:uid="{00000000-0002-0000-0100-000001000000}">
      <formula1>42185</formula1>
    </dataValidation>
    <dataValidation allowBlank="1" showInputMessage="1" showErrorMessage="1" prompt="Enter the name of your organisation" sqref="B4" xr:uid="{00000000-0002-0000-0100-000002000000}"/>
  </dataValidations>
  <pageMargins left="0.7" right="0.7" top="0.75" bottom="0.75" header="0.3" footer="0.3"/>
  <pageSetup paperSize="9" scale="81" orientation="landscape" r:id="rId1"/>
  <headerFooter>
    <oddFooter>&amp;L&amp;"Arial,Regular"&amp;8Page &amp;P of &amp;N&amp;R&amp;"Arial,Regular"&amp;8&amp;F[&amp;A]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Basis!$B$12:$B$18</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9"/>
  <sheetViews>
    <sheetView zoomScaleNormal="100" zoomScaleSheetLayoutView="115" workbookViewId="0">
      <selection activeCell="A38" sqref="A38:D38"/>
    </sheetView>
  </sheetViews>
  <sheetFormatPr defaultColWidth="0" defaultRowHeight="12.75" zeroHeight="1" x14ac:dyDescent="0.2"/>
  <cols>
    <col min="1" max="1" width="33.28515625" style="9" customWidth="1"/>
    <col min="2" max="2" width="19.5703125" style="9" customWidth="1"/>
    <col min="3" max="3" width="20.140625" style="9" bestFit="1" customWidth="1"/>
    <col min="4" max="4" width="20" style="9" bestFit="1" customWidth="1"/>
    <col min="5" max="11" width="13.28515625" style="9" hidden="1" customWidth="1"/>
    <col min="12" max="16384" width="9.140625" style="9" hidden="1"/>
  </cols>
  <sheetData>
    <row r="1" spans="1:4" ht="20.25" x14ac:dyDescent="0.2">
      <c r="A1" s="213" t="s">
        <v>53</v>
      </c>
      <c r="B1" s="213"/>
      <c r="C1" s="213"/>
      <c r="D1" s="213"/>
    </row>
    <row r="2" spans="1:4" ht="20.25" x14ac:dyDescent="0.2">
      <c r="A2" s="130"/>
      <c r="B2" s="131"/>
      <c r="C2" s="131"/>
      <c r="D2" s="132"/>
    </row>
    <row r="3" spans="1:4" ht="26.25" customHeight="1" x14ac:dyDescent="0.2">
      <c r="A3" s="214" t="s">
        <v>150</v>
      </c>
      <c r="B3" s="215"/>
      <c r="C3" s="215"/>
      <c r="D3" s="216"/>
    </row>
    <row r="4" spans="1:4" x14ac:dyDescent="0.2">
      <c r="A4" s="133"/>
      <c r="B4" s="134"/>
      <c r="C4" s="134"/>
      <c r="D4" s="135"/>
    </row>
    <row r="5" spans="1:4" ht="42.75" customHeight="1" x14ac:dyDescent="0.2">
      <c r="A5" s="214" t="s">
        <v>115</v>
      </c>
      <c r="B5" s="215"/>
      <c r="C5" s="215"/>
      <c r="D5" s="216"/>
    </row>
    <row r="6" spans="1:4" x14ac:dyDescent="0.2">
      <c r="A6" s="133"/>
      <c r="B6" s="134"/>
      <c r="C6" s="134"/>
      <c r="D6" s="135"/>
    </row>
    <row r="7" spans="1:4" x14ac:dyDescent="0.2">
      <c r="A7" s="136" t="s">
        <v>120</v>
      </c>
      <c r="B7" s="134"/>
      <c r="C7" s="134"/>
      <c r="D7" s="135"/>
    </row>
    <row r="8" spans="1:4" x14ac:dyDescent="0.2">
      <c r="A8" s="136"/>
      <c r="B8" s="134"/>
      <c r="C8" s="134"/>
      <c r="D8" s="135"/>
    </row>
    <row r="9" spans="1:4" ht="20.25" x14ac:dyDescent="0.2">
      <c r="A9" s="213" t="s">
        <v>121</v>
      </c>
      <c r="B9" s="213"/>
      <c r="C9" s="213"/>
      <c r="D9" s="213"/>
    </row>
    <row r="10" spans="1:4" ht="24" customHeight="1" x14ac:dyDescent="0.2">
      <c r="A10" s="217" t="s">
        <v>54</v>
      </c>
      <c r="B10" s="217"/>
      <c r="C10" s="217"/>
      <c r="D10" s="217"/>
    </row>
    <row r="11" spans="1:4" ht="47.25" customHeight="1" x14ac:dyDescent="0.2">
      <c r="A11" s="218" t="s">
        <v>55</v>
      </c>
      <c r="B11" s="218"/>
      <c r="C11" s="218"/>
      <c r="D11" s="218"/>
    </row>
    <row r="12" spans="1:4" ht="28.5" customHeight="1" x14ac:dyDescent="0.2">
      <c r="A12" s="219" t="s">
        <v>56</v>
      </c>
      <c r="B12" s="219"/>
      <c r="C12" s="219"/>
      <c r="D12" s="219"/>
    </row>
    <row r="13" spans="1:4" ht="72" customHeight="1" x14ac:dyDescent="0.2">
      <c r="A13" s="219" t="s">
        <v>122</v>
      </c>
      <c r="B13" s="219"/>
      <c r="C13" s="219"/>
      <c r="D13" s="219"/>
    </row>
    <row r="14" spans="1:4" ht="129" customHeight="1" x14ac:dyDescent="0.2">
      <c r="A14" s="222" t="s">
        <v>155</v>
      </c>
      <c r="B14" s="223"/>
      <c r="C14" s="223"/>
      <c r="D14" s="224"/>
    </row>
    <row r="15" spans="1:4" ht="85.5" customHeight="1" x14ac:dyDescent="0.2">
      <c r="A15" s="220" t="s">
        <v>142</v>
      </c>
      <c r="B15" s="221"/>
      <c r="C15" s="221"/>
      <c r="D15" s="221"/>
    </row>
    <row r="16" spans="1:4" ht="21.75" customHeight="1" x14ac:dyDescent="0.2">
      <c r="A16" s="217" t="s">
        <v>156</v>
      </c>
      <c r="B16" s="217"/>
      <c r="C16" s="217"/>
      <c r="D16" s="217"/>
    </row>
    <row r="17" spans="1:4" ht="74.25" customHeight="1" x14ac:dyDescent="0.2">
      <c r="A17" s="225" t="s">
        <v>154</v>
      </c>
      <c r="B17" s="225"/>
      <c r="C17" s="225"/>
      <c r="D17" s="225"/>
    </row>
    <row r="18" spans="1:4" x14ac:dyDescent="0.2">
      <c r="A18" s="239" t="s">
        <v>57</v>
      </c>
      <c r="B18" s="239"/>
      <c r="C18" s="239"/>
      <c r="D18" s="239"/>
    </row>
    <row r="19" spans="1:4" x14ac:dyDescent="0.2">
      <c r="A19" s="84"/>
      <c r="B19" s="84"/>
      <c r="C19" s="95"/>
      <c r="D19" s="95"/>
    </row>
    <row r="20" spans="1:4" ht="23.25" customHeight="1" thickBot="1" x14ac:dyDescent="0.25">
      <c r="A20" s="85" t="s">
        <v>58</v>
      </c>
      <c r="B20" s="86" t="s">
        <v>59</v>
      </c>
      <c r="C20" s="81"/>
      <c r="D20" s="81"/>
    </row>
    <row r="21" spans="1:4" ht="14.25" thickTop="1" thickBot="1" x14ac:dyDescent="0.25">
      <c r="A21" s="87" t="s">
        <v>60</v>
      </c>
      <c r="B21" s="188">
        <v>3.5</v>
      </c>
      <c r="C21" s="81"/>
      <c r="D21" s="81"/>
    </row>
    <row r="22" spans="1:4" ht="13.5" thickTop="1" x14ac:dyDescent="0.2">
      <c r="A22" s="88" t="s">
        <v>61</v>
      </c>
      <c r="B22" s="189">
        <v>2.75</v>
      </c>
      <c r="C22" s="81"/>
      <c r="D22" s="81"/>
    </row>
    <row r="23" spans="1:4" ht="24" x14ac:dyDescent="0.2">
      <c r="A23" s="88" t="s">
        <v>153</v>
      </c>
      <c r="B23" s="189">
        <v>3.5</v>
      </c>
      <c r="C23" s="81"/>
      <c r="D23" s="81"/>
    </row>
    <row r="24" spans="1:4" x14ac:dyDescent="0.2">
      <c r="A24" s="88" t="s">
        <v>62</v>
      </c>
      <c r="B24" s="189"/>
      <c r="C24" s="81"/>
      <c r="D24" s="81"/>
    </row>
    <row r="25" spans="1:4" x14ac:dyDescent="0.2">
      <c r="A25" s="88" t="s">
        <v>63</v>
      </c>
      <c r="B25" s="189">
        <v>3.5</v>
      </c>
      <c r="C25" s="81"/>
      <c r="D25" s="81"/>
    </row>
    <row r="26" spans="1:4" x14ac:dyDescent="0.2">
      <c r="A26" s="88" t="s">
        <v>64</v>
      </c>
      <c r="B26" s="189">
        <v>2.25</v>
      </c>
      <c r="C26" s="81"/>
      <c r="D26" s="81"/>
    </row>
    <row r="27" spans="1:4" x14ac:dyDescent="0.2">
      <c r="A27" s="88" t="s">
        <v>65</v>
      </c>
      <c r="B27" s="189"/>
      <c r="C27" s="81"/>
      <c r="D27" s="81"/>
    </row>
    <row r="28" spans="1:4" x14ac:dyDescent="0.2">
      <c r="A28" s="88" t="s">
        <v>66</v>
      </c>
      <c r="B28" s="189">
        <v>3.5</v>
      </c>
      <c r="C28" s="81"/>
      <c r="D28" s="81"/>
    </row>
    <row r="29" spans="1:4" x14ac:dyDescent="0.2">
      <c r="A29" s="88" t="s">
        <v>67</v>
      </c>
      <c r="B29" s="189">
        <v>2.5</v>
      </c>
      <c r="C29" s="81"/>
      <c r="D29" s="81"/>
    </row>
    <row r="30" spans="1:4" x14ac:dyDescent="0.2">
      <c r="A30" s="88" t="s">
        <v>68</v>
      </c>
      <c r="B30" s="189"/>
      <c r="C30" s="81"/>
      <c r="D30" s="81"/>
    </row>
    <row r="31" spans="1:4" x14ac:dyDescent="0.2">
      <c r="A31" s="88" t="s">
        <v>69</v>
      </c>
      <c r="B31" s="189">
        <v>2.7</v>
      </c>
      <c r="C31" s="81"/>
      <c r="D31" s="81"/>
    </row>
    <row r="32" spans="1:4" ht="13.5" thickBot="1" x14ac:dyDescent="0.25">
      <c r="A32" s="89" t="s">
        <v>70</v>
      </c>
      <c r="B32" s="190">
        <v>2</v>
      </c>
      <c r="C32" s="81"/>
      <c r="D32" s="81"/>
    </row>
    <row r="33" spans="1:4" x14ac:dyDescent="0.2">
      <c r="A33" s="81"/>
      <c r="B33" s="81"/>
      <c r="C33" s="81"/>
      <c r="D33" s="81"/>
    </row>
    <row r="34" spans="1:4" ht="39" customHeight="1" x14ac:dyDescent="0.2">
      <c r="A34" s="234" t="s">
        <v>151</v>
      </c>
      <c r="B34" s="234"/>
      <c r="C34" s="234"/>
      <c r="D34" s="234"/>
    </row>
    <row r="35" spans="1:4" ht="30.75" customHeight="1" x14ac:dyDescent="0.2">
      <c r="A35" s="235" t="s">
        <v>152</v>
      </c>
      <c r="B35" s="236"/>
      <c r="C35" s="236"/>
      <c r="D35" s="236"/>
    </row>
    <row r="36" spans="1:4" ht="21.75" customHeight="1" x14ac:dyDescent="0.2">
      <c r="A36" s="217" t="s">
        <v>72</v>
      </c>
      <c r="B36" s="217"/>
      <c r="C36" s="217"/>
      <c r="D36" s="217"/>
    </row>
    <row r="37" spans="1:4" ht="39" customHeight="1" x14ac:dyDescent="0.2">
      <c r="A37" s="218" t="s">
        <v>157</v>
      </c>
      <c r="B37" s="218"/>
      <c r="C37" s="218"/>
      <c r="D37" s="218"/>
    </row>
    <row r="38" spans="1:4" ht="39" customHeight="1" x14ac:dyDescent="0.2">
      <c r="A38" s="238" t="s">
        <v>158</v>
      </c>
      <c r="B38" s="238"/>
      <c r="C38" s="238"/>
      <c r="D38" s="238"/>
    </row>
    <row r="39" spans="1:4" x14ac:dyDescent="0.2">
      <c r="A39" s="82"/>
      <c r="B39" s="82"/>
      <c r="C39" s="82"/>
      <c r="D39" s="82"/>
    </row>
    <row r="40" spans="1:4" x14ac:dyDescent="0.2">
      <c r="A40" s="217" t="s">
        <v>73</v>
      </c>
      <c r="B40" s="217"/>
      <c r="C40" s="217"/>
      <c r="D40" s="217"/>
    </row>
    <row r="41" spans="1:4" ht="24.75" customHeight="1" x14ac:dyDescent="0.2">
      <c r="A41" s="218" t="s">
        <v>37</v>
      </c>
      <c r="B41" s="218"/>
      <c r="C41" s="218"/>
      <c r="D41" s="218"/>
    </row>
    <row r="42" spans="1:4" x14ac:dyDescent="0.2">
      <c r="A42" s="71"/>
      <c r="B42" s="69"/>
      <c r="C42" s="69"/>
      <c r="D42" s="69"/>
    </row>
    <row r="43" spans="1:4" ht="24.75" customHeight="1" thickBot="1" x14ac:dyDescent="0.25">
      <c r="A43" s="70" t="s">
        <v>41</v>
      </c>
      <c r="B43" s="129">
        <f>Accounting_date</f>
        <v>43251</v>
      </c>
      <c r="C43" s="129">
        <f>Accounting_date_prev</f>
        <v>42886</v>
      </c>
      <c r="D43" s="69"/>
    </row>
    <row r="44" spans="1:4" ht="27.75" customHeight="1" thickTop="1" x14ac:dyDescent="0.2">
      <c r="A44" s="96" t="str">
        <f>"Balance sheet liability at year start"</f>
        <v>Balance sheet liability at year start</v>
      </c>
      <c r="B44" s="97" t="str">
        <f>IF(Basis!B3=0,"Inputs not complete",Liability_prev)</f>
        <v>Inputs not complete</v>
      </c>
      <c r="C44" s="97" t="str">
        <f>IF(Basis!B3=0,"Inputs not complete",Liability_prev2)</f>
        <v>Inputs not complete</v>
      </c>
      <c r="D44" s="91"/>
    </row>
    <row r="45" spans="1:4" ht="27.75" customHeight="1" x14ac:dyDescent="0.2">
      <c r="A45" s="98" t="s">
        <v>123</v>
      </c>
      <c r="B45" s="99" t="str">
        <f>IF(Basis!B3=0,"Inputs not complete",-Current_year_DRCs)</f>
        <v>Inputs not complete</v>
      </c>
      <c r="C45" s="99" t="str">
        <f>IF(Basis!B3=0,"Inputs not complete",-Prev_year_DRCs)</f>
        <v>Inputs not complete</v>
      </c>
      <c r="D45" s="91"/>
    </row>
    <row r="46" spans="1:4" ht="27.75" customHeight="1" x14ac:dyDescent="0.2">
      <c r="A46" s="98" t="s">
        <v>35</v>
      </c>
      <c r="B46" s="99" t="str">
        <f>IF(Basis!B3=0,"Inputs not complete",B44*DR_prev+B45*((1+DR_prev)^0.5-1))</f>
        <v>Inputs not complete</v>
      </c>
      <c r="C46" s="99" t="str">
        <f>IF(Basis!B3=0,"Inputs not complete",C44*DR_prev2+C45*((1+DR_prev2)^0.5-1))</f>
        <v>Inputs not complete</v>
      </c>
      <c r="D46" s="91"/>
    </row>
    <row r="47" spans="1:4" ht="27.75" customHeight="1" x14ac:dyDescent="0.2">
      <c r="A47" s="105" t="s">
        <v>40</v>
      </c>
      <c r="B47" s="106" t="str">
        <f>IF(Basis!B3=0,"Inputs not complete",B48-SUM(B44:B46))</f>
        <v>Inputs not complete</v>
      </c>
      <c r="C47" s="106" t="str">
        <f>IF(Basis!B3=0,"Inputs not complete",C48-SUM(C44:C46))</f>
        <v>Inputs not complete</v>
      </c>
      <c r="D47" s="91"/>
    </row>
    <row r="48" spans="1:4" ht="27.75" customHeight="1" thickBot="1" x14ac:dyDescent="0.25">
      <c r="A48" s="107" t="s">
        <v>36</v>
      </c>
      <c r="B48" s="147" t="str">
        <f>IF(Basis!B3=0,"Inputs not complete",Liability)</f>
        <v>Inputs not complete</v>
      </c>
      <c r="C48" s="147" t="str">
        <f>IF(Basis!B3=0,"Inputs not complete",Liability_prev)</f>
        <v>Inputs not complete</v>
      </c>
      <c r="D48" s="91"/>
    </row>
    <row r="49" spans="1:5" x14ac:dyDescent="0.2">
      <c r="A49" s="92"/>
      <c r="B49" s="93"/>
      <c r="C49" s="93"/>
      <c r="D49" s="69"/>
    </row>
    <row r="50" spans="1:5" x14ac:dyDescent="0.2">
      <c r="A50" s="232" t="s">
        <v>99</v>
      </c>
      <c r="B50" s="233"/>
      <c r="C50" s="233"/>
      <c r="D50" s="233"/>
    </row>
    <row r="51" spans="1:5" x14ac:dyDescent="0.2"/>
    <row r="52" spans="1:5" ht="23.25" customHeight="1" x14ac:dyDescent="0.2">
      <c r="A52" s="220" t="s">
        <v>38</v>
      </c>
      <c r="B52" s="221"/>
      <c r="C52" s="221"/>
      <c r="D52" s="221"/>
    </row>
    <row r="53" spans="1:5" x14ac:dyDescent="0.2">
      <c r="A53" s="71"/>
      <c r="B53" s="69"/>
      <c r="C53" s="69"/>
      <c r="D53" s="69"/>
    </row>
    <row r="54" spans="1:5" ht="22.5" customHeight="1" thickBot="1" x14ac:dyDescent="0.25">
      <c r="A54" s="187" t="s">
        <v>0</v>
      </c>
      <c r="B54" s="90">
        <f>Accounting_date</f>
        <v>43251</v>
      </c>
      <c r="C54" s="90">
        <f>EOMONTH(B54,-12)</f>
        <v>42886</v>
      </c>
      <c r="D54" s="90">
        <f>EOMONTH(C54,-12)</f>
        <v>42521</v>
      </c>
    </row>
    <row r="55" spans="1:5" ht="13.5" thickTop="1" x14ac:dyDescent="0.2">
      <c r="A55" s="100" t="s">
        <v>12</v>
      </c>
      <c r="B55" s="101" t="e">
        <f>DR</f>
        <v>#N/A</v>
      </c>
      <c r="C55" s="101" t="e">
        <f>DR_prev</f>
        <v>#N/A</v>
      </c>
      <c r="D55" s="101" t="e">
        <f>DR_prev2</f>
        <v>#N/A</v>
      </c>
      <c r="E55" s="45"/>
    </row>
    <row r="56" spans="1:5" ht="26.25" thickBot="1" x14ac:dyDescent="0.25">
      <c r="A56" s="102" t="s">
        <v>39</v>
      </c>
      <c r="B56" s="103" t="e">
        <f>Inflation</f>
        <v>#N/A</v>
      </c>
      <c r="C56" s="103" t="e">
        <f>Inflation_prev</f>
        <v>#N/A</v>
      </c>
      <c r="D56" s="104" t="e">
        <f>Inflation_prev2</f>
        <v>#N/A</v>
      </c>
      <c r="E56" s="45"/>
    </row>
    <row r="57" spans="1:5" x14ac:dyDescent="0.2">
      <c r="A57" s="15"/>
      <c r="B57" s="15"/>
      <c r="C57" s="15"/>
      <c r="D57" s="94"/>
    </row>
    <row r="58" spans="1:5" x14ac:dyDescent="0.2">
      <c r="D58" s="68"/>
    </row>
    <row r="59" spans="1:5" x14ac:dyDescent="0.2">
      <c r="A59" s="123" t="s">
        <v>100</v>
      </c>
      <c r="B59" s="124"/>
      <c r="C59" s="124"/>
      <c r="D59" s="125"/>
    </row>
    <row r="60" spans="1:5" ht="27.75" customHeight="1" x14ac:dyDescent="0.2">
      <c r="A60" s="229" t="s">
        <v>101</v>
      </c>
      <c r="B60" s="230"/>
      <c r="C60" s="230"/>
      <c r="D60" s="231"/>
    </row>
    <row r="61" spans="1:5" ht="27.75" customHeight="1" x14ac:dyDescent="0.2">
      <c r="A61" s="137"/>
      <c r="B61" s="138"/>
      <c r="C61" s="138"/>
      <c r="D61" s="139"/>
    </row>
    <row r="62" spans="1:5" ht="24.75" customHeight="1" x14ac:dyDescent="0.2">
      <c r="A62" s="237" t="s">
        <v>71</v>
      </c>
      <c r="B62" s="237"/>
      <c r="C62" s="237"/>
      <c r="D62" s="237"/>
    </row>
    <row r="63" spans="1:5" ht="102" customHeight="1" x14ac:dyDescent="0.2">
      <c r="A63" s="226" t="s">
        <v>137</v>
      </c>
      <c r="B63" s="227"/>
      <c r="C63" s="227"/>
      <c r="D63" s="228"/>
    </row>
    <row r="64" spans="1:5" hidden="1" x14ac:dyDescent="0.2">
      <c r="D64" s="36"/>
    </row>
    <row r="65" spans="1:4" hidden="1" x14ac:dyDescent="0.2"/>
    <row r="66" spans="1:4" hidden="1" x14ac:dyDescent="0.2"/>
    <row r="67" spans="1:4" hidden="1" x14ac:dyDescent="0.2"/>
    <row r="68" spans="1:4" hidden="1" x14ac:dyDescent="0.2"/>
    <row r="69" spans="1:4" hidden="1" x14ac:dyDescent="0.2">
      <c r="A69" s="15"/>
      <c r="B69" s="15"/>
      <c r="C69" s="15"/>
      <c r="D69" s="15"/>
    </row>
  </sheetData>
  <sheetProtection algorithmName="SHA-512" hashValue="4rHi+HlhVzQ/3h5kqItEzdYWPROayYJX02vj0+Tg0YGSVViAiTAKuRWwysU92t+WfWASQrKZpOMqHbfwUHoJxg==" saltValue="xfF2qutmbGgpuF3cOW6u2w==" spinCount="100000" sheet="1" formatCells="0" formatColumns="0" formatRows="0"/>
  <mergeCells count="25">
    <mergeCell ref="A17:D17"/>
    <mergeCell ref="A63:D63"/>
    <mergeCell ref="A36:D36"/>
    <mergeCell ref="A60:D60"/>
    <mergeCell ref="A50:D50"/>
    <mergeCell ref="A52:D52"/>
    <mergeCell ref="A40:D40"/>
    <mergeCell ref="A41:D41"/>
    <mergeCell ref="A37:D37"/>
    <mergeCell ref="A34:D34"/>
    <mergeCell ref="A35:D35"/>
    <mergeCell ref="A62:D62"/>
    <mergeCell ref="A38:D38"/>
    <mergeCell ref="A18:D18"/>
    <mergeCell ref="A11:D11"/>
    <mergeCell ref="A12:D12"/>
    <mergeCell ref="A13:D13"/>
    <mergeCell ref="A15:D15"/>
    <mergeCell ref="A16:D16"/>
    <mergeCell ref="A14:D14"/>
    <mergeCell ref="A1:D1"/>
    <mergeCell ref="A3:D3"/>
    <mergeCell ref="A9:D9"/>
    <mergeCell ref="A10:D10"/>
    <mergeCell ref="A5:D5"/>
  </mergeCells>
  <pageMargins left="0.7" right="0.7" top="0.75" bottom="0.75" header="0.3" footer="0.3"/>
  <pageSetup paperSize="9" scale="84" orientation="portrait" r:id="rId1"/>
  <headerFooter>
    <oddFooter>&amp;L&amp;"Arial,Regular"&amp;8
Page &amp;P of &amp;N&amp;R&amp;"Arial,Regular"&amp;8&amp;F[&amp;A]</oddFooter>
  </headerFooter>
  <rowBreaks count="3" manualBreakCount="3">
    <brk id="8" max="3" man="1"/>
    <brk id="39" max="3" man="1"/>
    <brk id="63" max="3" man="1"/>
  </rowBreaks>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2"/>
  <sheetViews>
    <sheetView zoomScaleNormal="100" workbookViewId="0">
      <selection activeCell="A60" sqref="A60:D60"/>
    </sheetView>
  </sheetViews>
  <sheetFormatPr defaultColWidth="9.140625" defaultRowHeight="12.75" x14ac:dyDescent="0.2"/>
  <cols>
    <col min="1" max="1" width="24.5703125" style="9" bestFit="1" customWidth="1"/>
    <col min="2" max="2" width="12.85546875" style="9" bestFit="1" customWidth="1"/>
    <col min="3" max="3" width="11.28515625" style="9" customWidth="1"/>
    <col min="4" max="4" width="10.140625" style="9" bestFit="1" customWidth="1"/>
    <col min="5" max="5" width="44.42578125" style="9" customWidth="1"/>
    <col min="6" max="16384" width="9.140625" style="9"/>
  </cols>
  <sheetData>
    <row r="1" spans="1:5" x14ac:dyDescent="0.2">
      <c r="A1" s="9" t="s">
        <v>0</v>
      </c>
      <c r="B1" s="53">
        <f>Accounting_date</f>
        <v>43251</v>
      </c>
    </row>
    <row r="3" spans="1:5" x14ac:dyDescent="0.2">
      <c r="A3" s="9" t="s">
        <v>76</v>
      </c>
      <c r="B3" s="108">
        <f>IF(AND(Inputs!C4="",Inputs!C6="",Inputs!B10="",Inputs!D14="",Inputs!D17="",Inputs!D18="",Inputs!D19="",Inputs!D20="",Inputs!D21="",Inputs!D22="",Inputs!D23="",Inputs!D24="",Inputs!D25="",Inputs!D26="",Inputs!D27="",Inputs!D28="",Inputs!G17="",Inputs!G18="",Inputs!G19="",Inputs!G20="",Inputs!G21="",Inputs!G22="",Inputs!G23="",Inputs!G24="",Inputs!G25="",Inputs!G26="",Inputs!G27="",Inputs!G28=""),1,0)</f>
        <v>0</v>
      </c>
    </row>
    <row r="5" spans="1:5" x14ac:dyDescent="0.2">
      <c r="B5" s="10">
        <f>Accounting_date</f>
        <v>43251</v>
      </c>
      <c r="C5" s="10">
        <f>EOMONTH(B5,-12)</f>
        <v>42886</v>
      </c>
      <c r="D5" s="10">
        <f>EOMONTH(C5,-12)</f>
        <v>42521</v>
      </c>
    </row>
    <row r="6" spans="1:5" ht="18.75" customHeight="1" x14ac:dyDescent="0.2">
      <c r="A6" s="9" t="s">
        <v>12</v>
      </c>
      <c r="B6" s="52" t="e">
        <f>IF(Inputs!B38="",Inputs!B34,Inputs!B38)</f>
        <v>#N/A</v>
      </c>
      <c r="C6" s="52" t="e">
        <f>IF(Inputs!C38="",Inputs!C34,Inputs!C38)</f>
        <v>#N/A</v>
      </c>
      <c r="D6" s="52" t="e">
        <f>IF(Inputs!D38="",Inputs!D34,Inputs!D38)</f>
        <v>#N/A</v>
      </c>
      <c r="E6" s="240" t="s">
        <v>31</v>
      </c>
    </row>
    <row r="7" spans="1:5" ht="18.75" customHeight="1" x14ac:dyDescent="0.2">
      <c r="A7" s="9" t="s">
        <v>15</v>
      </c>
      <c r="B7" s="52" t="e">
        <f>IF(Inputs!B39="",Inputs!B35,Inputs!B39)</f>
        <v>#N/A</v>
      </c>
      <c r="C7" s="52" t="e">
        <f>IF(Inputs!C39="",Inputs!C35,Inputs!C39)</f>
        <v>#N/A</v>
      </c>
      <c r="D7" s="52" t="e">
        <f>IF(Inputs!D39="",Inputs!D35,Inputs!D39)</f>
        <v>#N/A</v>
      </c>
      <c r="E7" s="241"/>
    </row>
    <row r="10" spans="1:5" x14ac:dyDescent="0.2">
      <c r="A10" s="12" t="s">
        <v>17</v>
      </c>
      <c r="B10" s="14"/>
    </row>
    <row r="11" spans="1:5" x14ac:dyDescent="0.2">
      <c r="A11" s="57" t="s">
        <v>18</v>
      </c>
      <c r="B11" s="57" t="s">
        <v>26</v>
      </c>
      <c r="C11" s="45"/>
    </row>
    <row r="12" spans="1:5" x14ac:dyDescent="0.2">
      <c r="A12" s="51" t="s">
        <v>19</v>
      </c>
      <c r="B12" s="56">
        <v>0.06</v>
      </c>
      <c r="C12" s="45"/>
    </row>
    <row r="13" spans="1:5" x14ac:dyDescent="0.2">
      <c r="A13" s="49" t="s">
        <v>20</v>
      </c>
      <c r="B13" s="54">
        <v>7.0000000000000007E-2</v>
      </c>
      <c r="C13" s="45"/>
    </row>
    <row r="14" spans="1:5" x14ac:dyDescent="0.2">
      <c r="A14" s="49" t="s">
        <v>21</v>
      </c>
      <c r="B14" s="54">
        <v>0.08</v>
      </c>
      <c r="C14" s="45"/>
    </row>
    <row r="15" spans="1:5" x14ac:dyDescent="0.2">
      <c r="A15" s="49" t="s">
        <v>22</v>
      </c>
      <c r="B15" s="54">
        <v>0.09</v>
      </c>
      <c r="C15" s="45"/>
    </row>
    <row r="16" spans="1:5" x14ac:dyDescent="0.2">
      <c r="A16" s="49" t="s">
        <v>23</v>
      </c>
      <c r="B16" s="54">
        <v>0.1</v>
      </c>
      <c r="C16" s="45"/>
    </row>
    <row r="17" spans="1:4" x14ac:dyDescent="0.2">
      <c r="A17" s="49" t="s">
        <v>24</v>
      </c>
      <c r="B17" s="54">
        <v>0.11</v>
      </c>
      <c r="C17" s="45"/>
    </row>
    <row r="18" spans="1:4" x14ac:dyDescent="0.2">
      <c r="A18" s="50" t="s">
        <v>25</v>
      </c>
      <c r="B18" s="55">
        <v>0.12</v>
      </c>
      <c r="C18" s="45"/>
    </row>
    <row r="19" spans="1:4" x14ac:dyDescent="0.2">
      <c r="A19" s="58"/>
      <c r="B19" s="58"/>
      <c r="C19" s="14"/>
    </row>
    <row r="20" spans="1:4" x14ac:dyDescent="0.2">
      <c r="A20" s="59" t="s">
        <v>32</v>
      </c>
      <c r="B20" s="184" t="s">
        <v>145</v>
      </c>
      <c r="C20" s="57" t="s">
        <v>8</v>
      </c>
      <c r="D20" s="57" t="s">
        <v>9</v>
      </c>
    </row>
    <row r="21" spans="1:4" x14ac:dyDescent="0.2">
      <c r="A21" s="48" t="s">
        <v>33</v>
      </c>
      <c r="B21" s="185">
        <v>43203</v>
      </c>
      <c r="C21" s="60">
        <v>42096</v>
      </c>
      <c r="D21" s="60">
        <v>40998</v>
      </c>
    </row>
    <row r="22" spans="1:4" x14ac:dyDescent="0.2">
      <c r="A22" s="50" t="s">
        <v>34</v>
      </c>
      <c r="B22" s="186">
        <v>47118</v>
      </c>
      <c r="C22" s="61">
        <v>49490</v>
      </c>
      <c r="D22" s="61">
        <v>49309</v>
      </c>
    </row>
  </sheetData>
  <mergeCells count="1">
    <mergeCell ref="E6:E7"/>
  </mergeCells>
  <pageMargins left="0.7" right="0.7" top="0.75" bottom="0.75" header="0.3" footer="0.3"/>
  <pageSetup paperSize="9" scale="78" orientation="portrait" r:id="rId1"/>
  <headerFooter>
    <oddFooter>&amp;L&amp;"Arial,Regular"&amp;8ear &amp;D &amp;T
Lane Clark &amp;&amp; Peacock Page &amp;P of &amp;N&amp;R&amp;"Arial,Regular"&amp;8&amp;Z&amp;F[&amp;A]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K56"/>
  <sheetViews>
    <sheetView zoomScaleNormal="100" workbookViewId="0">
      <selection activeCell="A38" sqref="A38:D38"/>
    </sheetView>
  </sheetViews>
  <sheetFormatPr defaultColWidth="9.140625" defaultRowHeight="12.75" x14ac:dyDescent="0.2"/>
  <cols>
    <col min="1" max="1" width="22.85546875" style="9" customWidth="1"/>
    <col min="2" max="2" width="12.140625" style="9" customWidth="1"/>
    <col min="3" max="3" width="13.140625" style="9" customWidth="1"/>
    <col min="4" max="4" width="15.85546875" style="9" customWidth="1"/>
    <col min="5" max="5" width="13.140625" style="9" customWidth="1"/>
    <col min="6" max="6" width="20.7109375" style="9" bestFit="1" customWidth="1"/>
    <col min="7" max="7" width="10.42578125" style="9" customWidth="1"/>
    <col min="8" max="8" width="15.140625" style="9" bestFit="1" customWidth="1"/>
    <col min="9" max="9" width="17.5703125" style="9" bestFit="1" customWidth="1"/>
    <col min="10" max="10" width="26" style="9" bestFit="1" customWidth="1"/>
    <col min="11" max="11" width="17.85546875" style="9" customWidth="1"/>
    <col min="12" max="16" width="9.140625" style="9"/>
    <col min="17" max="17" width="12.7109375" style="9" customWidth="1"/>
    <col min="18" max="19" width="9.140625" style="9"/>
    <col min="20" max="26" width="15.7109375" style="9" customWidth="1"/>
    <col min="27" max="16384" width="9.140625" style="9"/>
  </cols>
  <sheetData>
    <row r="2" spans="1:11" x14ac:dyDescent="0.2">
      <c r="A2" s="12" t="s">
        <v>4</v>
      </c>
      <c r="B2" s="13">
        <f>Accounting_date</f>
        <v>43251</v>
      </c>
      <c r="I2" s="10"/>
    </row>
    <row r="3" spans="1:11" x14ac:dyDescent="0.2">
      <c r="I3" s="25"/>
      <c r="J3" s="25"/>
    </row>
    <row r="4" spans="1:11" x14ac:dyDescent="0.2">
      <c r="A4" s="14" t="s">
        <v>146</v>
      </c>
      <c r="B4" s="152">
        <v>42096</v>
      </c>
      <c r="D4" s="10"/>
      <c r="H4" s="14"/>
      <c r="I4" s="25"/>
      <c r="J4" s="25"/>
    </row>
    <row r="5" spans="1:11" x14ac:dyDescent="0.2">
      <c r="A5" s="14" t="s">
        <v>147</v>
      </c>
      <c r="B5" s="180">
        <v>43203</v>
      </c>
      <c r="D5" s="10"/>
      <c r="H5" s="14"/>
      <c r="I5" s="25"/>
      <c r="J5" s="25"/>
    </row>
    <row r="6" spans="1:11" x14ac:dyDescent="0.2">
      <c r="A6" s="14"/>
      <c r="B6" s="14"/>
      <c r="E6" s="10">
        <v>42095</v>
      </c>
      <c r="H6" s="14"/>
      <c r="I6" s="25"/>
      <c r="J6" s="25"/>
    </row>
    <row r="7" spans="1:11" x14ac:dyDescent="0.2">
      <c r="A7" s="12" t="s">
        <v>7</v>
      </c>
      <c r="B7" s="179" t="str">
        <f>IF(B2&gt;=B5,"2018 RP",IF(B2&gt;=B4,"2015 RP","2012 RP"))</f>
        <v>2018 RP</v>
      </c>
      <c r="E7" s="10">
        <v>42369</v>
      </c>
      <c r="H7" s="14"/>
      <c r="I7" s="33"/>
      <c r="J7" s="25"/>
      <c r="K7" s="10"/>
    </row>
    <row r="8" spans="1:11" x14ac:dyDescent="0.2">
      <c r="A8" s="12" t="s">
        <v>148</v>
      </c>
      <c r="B8" s="180">
        <f>IF(B7="2018 RP",Basis!B22,IF(B7="2015 RP",Basis!C22,Basis!D22))</f>
        <v>47118</v>
      </c>
      <c r="E8" s="10"/>
      <c r="H8" s="14"/>
      <c r="I8" s="33"/>
      <c r="J8" s="25"/>
      <c r="K8" s="10"/>
    </row>
    <row r="9" spans="1:11" ht="38.25" x14ac:dyDescent="0.2">
      <c r="A9" s="9" t="s">
        <v>13</v>
      </c>
      <c r="B9" s="47">
        <f>first_month_DRCs</f>
        <v>0</v>
      </c>
      <c r="D9" s="29" t="s">
        <v>16</v>
      </c>
      <c r="E9" s="30" t="str">
        <f>IF(AND($B$2&gt;$E$6,$B$2&lt;$E$7),"yes","no")</f>
        <v>no</v>
      </c>
    </row>
    <row r="10" spans="1:11" x14ac:dyDescent="0.2">
      <c r="A10" s="9" t="s">
        <v>12</v>
      </c>
      <c r="B10" s="31" t="e">
        <f>DR</f>
        <v>#N/A</v>
      </c>
      <c r="D10" s="9" t="s">
        <v>26</v>
      </c>
      <c r="E10" s="35">
        <f>percentage_cont</f>
        <v>0.12</v>
      </c>
      <c r="I10" s="83"/>
    </row>
    <row r="11" spans="1:11" x14ac:dyDescent="0.2">
      <c r="A11" s="9" t="s">
        <v>15</v>
      </c>
      <c r="B11" s="31" t="e">
        <f>Inflation</f>
        <v>#N/A</v>
      </c>
      <c r="D11" s="9" t="s">
        <v>30</v>
      </c>
      <c r="E11" s="35">
        <f>$E$10/0.11</f>
        <v>1.0909090909090908</v>
      </c>
    </row>
    <row r="12" spans="1:11" s="25" customFormat="1" x14ac:dyDescent="0.2">
      <c r="A12" s="36"/>
      <c r="B12" s="36"/>
      <c r="C12" s="36"/>
      <c r="D12" s="37"/>
      <c r="E12" s="36"/>
      <c r="F12" s="36"/>
      <c r="G12" s="38"/>
      <c r="H12" s="36"/>
      <c r="I12" s="36"/>
      <c r="J12" s="36"/>
    </row>
    <row r="13" spans="1:11" x14ac:dyDescent="0.2">
      <c r="A13" s="244" t="s">
        <v>145</v>
      </c>
      <c r="B13" s="245"/>
      <c r="C13" s="244" t="s">
        <v>8</v>
      </c>
      <c r="D13" s="245"/>
      <c r="E13" s="246"/>
      <c r="F13" s="242" t="s">
        <v>9</v>
      </c>
      <c r="G13" s="243"/>
      <c r="H13" s="32"/>
      <c r="I13" s="32"/>
      <c r="J13" s="32"/>
    </row>
    <row r="14" spans="1:11" ht="38.25" x14ac:dyDescent="0.2">
      <c r="A14" s="156" t="s">
        <v>4</v>
      </c>
      <c r="B14" s="157" t="s">
        <v>28</v>
      </c>
      <c r="C14" s="40" t="s">
        <v>4</v>
      </c>
      <c r="D14" s="41" t="s">
        <v>28</v>
      </c>
      <c r="E14" s="42" t="s">
        <v>29</v>
      </c>
      <c r="F14" s="43" t="s">
        <v>27</v>
      </c>
      <c r="G14" s="41" t="s">
        <v>28</v>
      </c>
      <c r="H14" s="169" t="s">
        <v>6</v>
      </c>
      <c r="I14" s="21" t="s">
        <v>10</v>
      </c>
      <c r="J14" s="21" t="s">
        <v>11</v>
      </c>
    </row>
    <row r="15" spans="1:11" x14ac:dyDescent="0.2">
      <c r="A15" s="173">
        <f>$B$2</f>
        <v>43251</v>
      </c>
      <c r="B15" s="174" t="e">
        <f>IF(MONTH(B2)=12,$B$9*12,(($B$9*12)*(1-MONTH($B$2)/12))+(($B$9*12)*(1+$B$11)*(MONTH($B$2)/12)))</f>
        <v>#N/A</v>
      </c>
      <c r="C15" s="153">
        <f>$B$2</f>
        <v>43251</v>
      </c>
      <c r="D15" s="27" t="e">
        <f>IF(MONTH(B2)=12,$B$9*12,(($B$9*12)*(1-MONTH($B$2)/12))+(($B$9*12)*(1+$B$11)*(MONTH($B$2)/12)))</f>
        <v>#N/A</v>
      </c>
      <c r="E15" s="28" t="e">
        <f>$D$15*($E$7-$C$15)/365+$D$15*(1-(($E$7-$C$15)/365))*$E$11</f>
        <v>#N/A</v>
      </c>
      <c r="F15" s="26">
        <f>$B$2</f>
        <v>43251</v>
      </c>
      <c r="G15" s="164" t="e">
        <f>IF(MONTH(B2)=12,$B$9*12,(($B$9*12)*(1-MONTH($B$2)/12))+(($B$9*12)*(1+$B$11)*(MONTH($B$2)/12)))</f>
        <v>#N/A</v>
      </c>
      <c r="H15" s="181" t="e">
        <f t="shared" ref="H15:H39" si="0">IF($B$7="2018 RP",B15,IF($B$7="2015 RP",IF($E$9="yes",E15,D15),G15))</f>
        <v>#N/A</v>
      </c>
      <c r="I15" s="167" t="e">
        <f>(1+$B$10)^-0.5</f>
        <v>#N/A</v>
      </c>
      <c r="J15" s="22" t="e">
        <f>H15*I15</f>
        <v>#N/A</v>
      </c>
    </row>
    <row r="16" spans="1:11" x14ac:dyDescent="0.2">
      <c r="A16" s="175">
        <f>IF(EOMONTH(A15,12)&gt;Basis!$B$22,Basis!$B$22,EOMONTH(A15,12))</f>
        <v>43616</v>
      </c>
      <c r="B16" s="176" t="e">
        <f t="shared" ref="B16:B39" si="1">IF(A17=A16,0,B15*(1+$B$11))*(A17-A16)/365</f>
        <v>#N/A</v>
      </c>
      <c r="C16" s="154">
        <f>IF(EOMONTH(C15,12)&gt;Basis!$C$22,Basis!$C$22,EOMONTH(C15,12))</f>
        <v>43616</v>
      </c>
      <c r="D16" s="19" t="e">
        <f t="shared" ref="D16:D39" si="2">IF(C17=C16,0,D15*(1+$B$11))*(C17-C16)/365</f>
        <v>#N/A</v>
      </c>
      <c r="E16" s="19" t="e">
        <f t="shared" ref="E16:E39" si="3">D16*$E$11</f>
        <v>#N/A</v>
      </c>
      <c r="F16" s="17">
        <f>IF(EOMONTH(F15,12)&gt;Basis!$D$22,Basis!$D$22,EOMONTH(F15,12))</f>
        <v>43616</v>
      </c>
      <c r="G16" s="165" t="e">
        <f t="shared" ref="G16:G39" si="4">IF(F17=F16,0,G15*(1+$B$11))*(F17-F16)/365</f>
        <v>#N/A</v>
      </c>
      <c r="H16" s="182" t="e">
        <f t="shared" si="0"/>
        <v>#N/A</v>
      </c>
      <c r="I16" s="168" t="e">
        <f t="shared" ref="I16:I38" si="5">I15*(1+$B$10)^-(0.5+(C17-C16)/2/365)</f>
        <v>#N/A</v>
      </c>
      <c r="J16" s="23" t="e">
        <f t="shared" ref="J16:J39" si="6">H16*I16</f>
        <v>#N/A</v>
      </c>
    </row>
    <row r="17" spans="1:10" x14ac:dyDescent="0.2">
      <c r="A17" s="175">
        <f>IF(EOMONTH(A16,12)&gt;Basis!$B$22,Basis!$B$22,EOMONTH(A16,12))</f>
        <v>43982</v>
      </c>
      <c r="B17" s="176" t="e">
        <f t="shared" si="1"/>
        <v>#N/A</v>
      </c>
      <c r="C17" s="154">
        <f>IF(EOMONTH(C16,12)&gt;Basis!$C$22,Basis!$C$22,EOMONTH(C16,12))</f>
        <v>43982</v>
      </c>
      <c r="D17" s="19" t="e">
        <f t="shared" si="2"/>
        <v>#N/A</v>
      </c>
      <c r="E17" s="19" t="e">
        <f t="shared" si="3"/>
        <v>#N/A</v>
      </c>
      <c r="F17" s="17">
        <f>IF(EOMONTH(F16,12)&gt;Basis!$D$22,Basis!$D$22,EOMONTH(F16,12))</f>
        <v>43982</v>
      </c>
      <c r="G17" s="165" t="e">
        <f t="shared" si="4"/>
        <v>#N/A</v>
      </c>
      <c r="H17" s="182" t="e">
        <f t="shared" si="0"/>
        <v>#N/A</v>
      </c>
      <c r="I17" s="168" t="e">
        <f t="shared" si="5"/>
        <v>#N/A</v>
      </c>
      <c r="J17" s="23" t="e">
        <f t="shared" si="6"/>
        <v>#N/A</v>
      </c>
    </row>
    <row r="18" spans="1:10" x14ac:dyDescent="0.2">
      <c r="A18" s="175">
        <f>IF(EOMONTH(A17,12)&gt;Basis!$B$22,Basis!$B$22,EOMONTH(A17,12))</f>
        <v>44347</v>
      </c>
      <c r="B18" s="176" t="e">
        <f t="shared" si="1"/>
        <v>#N/A</v>
      </c>
      <c r="C18" s="154">
        <f>IF(EOMONTH(C17,12)&gt;Basis!$C$22,Basis!$C$22,EOMONTH(C17,12))</f>
        <v>44347</v>
      </c>
      <c r="D18" s="19" t="e">
        <f t="shared" si="2"/>
        <v>#N/A</v>
      </c>
      <c r="E18" s="19" t="e">
        <f t="shared" si="3"/>
        <v>#N/A</v>
      </c>
      <c r="F18" s="17">
        <f>IF(EOMONTH(F17,12)&gt;Basis!$D$22,Basis!$D$22,EOMONTH(F17,12))</f>
        <v>44347</v>
      </c>
      <c r="G18" s="165" t="e">
        <f t="shared" si="4"/>
        <v>#N/A</v>
      </c>
      <c r="H18" s="182" t="e">
        <f t="shared" si="0"/>
        <v>#N/A</v>
      </c>
      <c r="I18" s="168" t="e">
        <f t="shared" si="5"/>
        <v>#N/A</v>
      </c>
      <c r="J18" s="23" t="e">
        <f t="shared" si="6"/>
        <v>#N/A</v>
      </c>
    </row>
    <row r="19" spans="1:10" x14ac:dyDescent="0.2">
      <c r="A19" s="175">
        <f>IF(EOMONTH(A18,12)&gt;Basis!$B$22,Basis!$B$22,EOMONTH(A18,12))</f>
        <v>44712</v>
      </c>
      <c r="B19" s="176" t="e">
        <f t="shared" si="1"/>
        <v>#N/A</v>
      </c>
      <c r="C19" s="154">
        <f>IF(EOMONTH(C18,12)&gt;Basis!$C$22,Basis!$C$22,EOMONTH(C18,12))</f>
        <v>44712</v>
      </c>
      <c r="D19" s="19" t="e">
        <f t="shared" si="2"/>
        <v>#N/A</v>
      </c>
      <c r="E19" s="19" t="e">
        <f t="shared" si="3"/>
        <v>#N/A</v>
      </c>
      <c r="F19" s="17">
        <f>IF(EOMONTH(F18,12)&gt;Basis!$D$22,Basis!$D$22,EOMONTH(F18,12))</f>
        <v>44712</v>
      </c>
      <c r="G19" s="165" t="e">
        <f t="shared" si="4"/>
        <v>#N/A</v>
      </c>
      <c r="H19" s="182" t="e">
        <f t="shared" si="0"/>
        <v>#N/A</v>
      </c>
      <c r="I19" s="168" t="e">
        <f t="shared" si="5"/>
        <v>#N/A</v>
      </c>
      <c r="J19" s="23" t="e">
        <f t="shared" si="6"/>
        <v>#N/A</v>
      </c>
    </row>
    <row r="20" spans="1:10" x14ac:dyDescent="0.2">
      <c r="A20" s="175">
        <f>IF(EOMONTH(A19,12)&gt;Basis!$B$22,Basis!$B$22,EOMONTH(A19,12))</f>
        <v>45077</v>
      </c>
      <c r="B20" s="176" t="e">
        <f t="shared" si="1"/>
        <v>#N/A</v>
      </c>
      <c r="C20" s="154">
        <f>IF(EOMONTH(C19,12)&gt;Basis!$C$22,Basis!$C$22,EOMONTH(C19,12))</f>
        <v>45077</v>
      </c>
      <c r="D20" s="19" t="e">
        <f t="shared" si="2"/>
        <v>#N/A</v>
      </c>
      <c r="E20" s="19" t="e">
        <f t="shared" si="3"/>
        <v>#N/A</v>
      </c>
      <c r="F20" s="17">
        <f>IF(EOMONTH(F19,12)&gt;Basis!$D$22,Basis!$D$22,EOMONTH(F19,12))</f>
        <v>45077</v>
      </c>
      <c r="G20" s="165" t="e">
        <f t="shared" si="4"/>
        <v>#N/A</v>
      </c>
      <c r="H20" s="182" t="e">
        <f t="shared" si="0"/>
        <v>#N/A</v>
      </c>
      <c r="I20" s="168" t="e">
        <f t="shared" si="5"/>
        <v>#N/A</v>
      </c>
      <c r="J20" s="23" t="e">
        <f t="shared" si="6"/>
        <v>#N/A</v>
      </c>
    </row>
    <row r="21" spans="1:10" x14ac:dyDescent="0.2">
      <c r="A21" s="175">
        <f>IF(EOMONTH(A20,12)&gt;Basis!$B$22,Basis!$B$22,EOMONTH(A20,12))</f>
        <v>45443</v>
      </c>
      <c r="B21" s="176" t="e">
        <f t="shared" si="1"/>
        <v>#N/A</v>
      </c>
      <c r="C21" s="154">
        <f>IF(EOMONTH(C20,12)&gt;Basis!$C$22,Basis!$C$22,EOMONTH(C20,12))</f>
        <v>45443</v>
      </c>
      <c r="D21" s="19" t="e">
        <f t="shared" si="2"/>
        <v>#N/A</v>
      </c>
      <c r="E21" s="19" t="e">
        <f t="shared" si="3"/>
        <v>#N/A</v>
      </c>
      <c r="F21" s="17">
        <f>IF(EOMONTH(F20,12)&gt;Basis!$D$22,Basis!$D$22,EOMONTH(F20,12))</f>
        <v>45443</v>
      </c>
      <c r="G21" s="165" t="e">
        <f t="shared" si="4"/>
        <v>#N/A</v>
      </c>
      <c r="H21" s="182" t="e">
        <f t="shared" si="0"/>
        <v>#N/A</v>
      </c>
      <c r="I21" s="168" t="e">
        <f t="shared" si="5"/>
        <v>#N/A</v>
      </c>
      <c r="J21" s="23" t="e">
        <f t="shared" si="6"/>
        <v>#N/A</v>
      </c>
    </row>
    <row r="22" spans="1:10" x14ac:dyDescent="0.2">
      <c r="A22" s="175">
        <f>IF(EOMONTH(A21,12)&gt;Basis!$B$22,Basis!$B$22,EOMONTH(A21,12))</f>
        <v>45808</v>
      </c>
      <c r="B22" s="176" t="e">
        <f t="shared" si="1"/>
        <v>#N/A</v>
      </c>
      <c r="C22" s="154">
        <f>IF(EOMONTH(C21,12)&gt;Basis!$C$22,Basis!$C$22,EOMONTH(C21,12))</f>
        <v>45808</v>
      </c>
      <c r="D22" s="19" t="e">
        <f t="shared" si="2"/>
        <v>#N/A</v>
      </c>
      <c r="E22" s="19" t="e">
        <f t="shared" si="3"/>
        <v>#N/A</v>
      </c>
      <c r="F22" s="17">
        <f>IF(EOMONTH(F21,12)&gt;Basis!$D$22,Basis!$D$22,EOMONTH(F21,12))</f>
        <v>45808</v>
      </c>
      <c r="G22" s="165" t="e">
        <f t="shared" si="4"/>
        <v>#N/A</v>
      </c>
      <c r="H22" s="182" t="e">
        <f t="shared" si="0"/>
        <v>#N/A</v>
      </c>
      <c r="I22" s="168" t="e">
        <f t="shared" si="5"/>
        <v>#N/A</v>
      </c>
      <c r="J22" s="23" t="e">
        <f t="shared" si="6"/>
        <v>#N/A</v>
      </c>
    </row>
    <row r="23" spans="1:10" x14ac:dyDescent="0.2">
      <c r="A23" s="175">
        <f>IF(EOMONTH(A22,12)&gt;Basis!$B$22,Basis!$B$22,EOMONTH(A22,12))</f>
        <v>46173</v>
      </c>
      <c r="B23" s="176" t="e">
        <f t="shared" si="1"/>
        <v>#N/A</v>
      </c>
      <c r="C23" s="154">
        <f>IF(EOMONTH(C22,12)&gt;Basis!$C$22,Basis!$C$22,EOMONTH(C22,12))</f>
        <v>46173</v>
      </c>
      <c r="D23" s="19" t="e">
        <f t="shared" si="2"/>
        <v>#N/A</v>
      </c>
      <c r="E23" s="19" t="e">
        <f t="shared" si="3"/>
        <v>#N/A</v>
      </c>
      <c r="F23" s="17">
        <f>IF(EOMONTH(F22,12)&gt;Basis!$D$22,Basis!$D$22,EOMONTH(F22,12))</f>
        <v>46173</v>
      </c>
      <c r="G23" s="165" t="e">
        <f t="shared" si="4"/>
        <v>#N/A</v>
      </c>
      <c r="H23" s="182" t="e">
        <f t="shared" si="0"/>
        <v>#N/A</v>
      </c>
      <c r="I23" s="168" t="e">
        <f t="shared" si="5"/>
        <v>#N/A</v>
      </c>
      <c r="J23" s="23" t="e">
        <f t="shared" si="6"/>
        <v>#N/A</v>
      </c>
    </row>
    <row r="24" spans="1:10" x14ac:dyDescent="0.2">
      <c r="A24" s="175">
        <f>IF(EOMONTH(A23,12)&gt;Basis!$B$22,Basis!$B$22,EOMONTH(A23,12))</f>
        <v>46538</v>
      </c>
      <c r="B24" s="176" t="e">
        <f t="shared" si="1"/>
        <v>#N/A</v>
      </c>
      <c r="C24" s="154">
        <f>IF(EOMONTH(C23,12)&gt;Basis!$C$22,Basis!$C$22,EOMONTH(C23,12))</f>
        <v>46538</v>
      </c>
      <c r="D24" s="19" t="e">
        <f t="shared" si="2"/>
        <v>#N/A</v>
      </c>
      <c r="E24" s="19" t="e">
        <f t="shared" si="3"/>
        <v>#N/A</v>
      </c>
      <c r="F24" s="17">
        <f>IF(EOMONTH(F23,12)&gt;Basis!$D$22,Basis!$D$22,EOMONTH(F23,12))</f>
        <v>46538</v>
      </c>
      <c r="G24" s="165" t="e">
        <f t="shared" si="4"/>
        <v>#N/A</v>
      </c>
      <c r="H24" s="182" t="e">
        <f t="shared" si="0"/>
        <v>#N/A</v>
      </c>
      <c r="I24" s="168" t="e">
        <f t="shared" si="5"/>
        <v>#N/A</v>
      </c>
      <c r="J24" s="23" t="e">
        <f t="shared" si="6"/>
        <v>#N/A</v>
      </c>
    </row>
    <row r="25" spans="1:10" x14ac:dyDescent="0.2">
      <c r="A25" s="175">
        <f>IF(EOMONTH(A24,12)&gt;Basis!$B$22,Basis!$B$22,EOMONTH(A24,12))</f>
        <v>46904</v>
      </c>
      <c r="B25" s="176" t="e">
        <f t="shared" si="1"/>
        <v>#N/A</v>
      </c>
      <c r="C25" s="154">
        <f>IF(EOMONTH(C24,12)&gt;Basis!$C$22,Basis!$C$22,EOMONTH(C24,12))</f>
        <v>46904</v>
      </c>
      <c r="D25" s="19" t="e">
        <f t="shared" si="2"/>
        <v>#N/A</v>
      </c>
      <c r="E25" s="19" t="e">
        <f t="shared" si="3"/>
        <v>#N/A</v>
      </c>
      <c r="F25" s="17">
        <f>IF(EOMONTH(F24,12)&gt;Basis!$D$22,Basis!$D$22,EOMONTH(F24,12))</f>
        <v>46904</v>
      </c>
      <c r="G25" s="165" t="e">
        <f t="shared" si="4"/>
        <v>#N/A</v>
      </c>
      <c r="H25" s="182" t="e">
        <f t="shared" si="0"/>
        <v>#N/A</v>
      </c>
      <c r="I25" s="168" t="e">
        <f t="shared" si="5"/>
        <v>#N/A</v>
      </c>
      <c r="J25" s="23" t="e">
        <f t="shared" si="6"/>
        <v>#N/A</v>
      </c>
    </row>
    <row r="26" spans="1:10" x14ac:dyDescent="0.2">
      <c r="A26" s="175">
        <f>IF(EOMONTH(A25,12)&gt;Basis!$B$22,Basis!$B$22,EOMONTH(A25,12))</f>
        <v>47118</v>
      </c>
      <c r="B26" s="176">
        <f t="shared" si="1"/>
        <v>0</v>
      </c>
      <c r="C26" s="154">
        <f>IF(EOMONTH(C25,12)&gt;Basis!$C$22,Basis!$C$22,EOMONTH(C25,12))</f>
        <v>47269</v>
      </c>
      <c r="D26" s="19" t="e">
        <f t="shared" si="2"/>
        <v>#N/A</v>
      </c>
      <c r="E26" s="19" t="e">
        <f t="shared" si="3"/>
        <v>#N/A</v>
      </c>
      <c r="F26" s="17">
        <f>IF(EOMONTH(F25,12)&gt;Basis!$D$22,Basis!$D$22,EOMONTH(F25,12))</f>
        <v>47269</v>
      </c>
      <c r="G26" s="165" t="e">
        <f t="shared" si="4"/>
        <v>#N/A</v>
      </c>
      <c r="H26" s="182">
        <f t="shared" si="0"/>
        <v>0</v>
      </c>
      <c r="I26" s="168" t="e">
        <f t="shared" si="5"/>
        <v>#N/A</v>
      </c>
      <c r="J26" s="23" t="e">
        <f t="shared" si="6"/>
        <v>#N/A</v>
      </c>
    </row>
    <row r="27" spans="1:10" x14ac:dyDescent="0.2">
      <c r="A27" s="175">
        <f>IF(EOMONTH(A26,12)&gt;Basis!$B$22,Basis!$B$22,EOMONTH(A26,12))</f>
        <v>47118</v>
      </c>
      <c r="B27" s="176">
        <f t="shared" si="1"/>
        <v>0</v>
      </c>
      <c r="C27" s="154">
        <f>IF(EOMONTH(C26,12)&gt;Basis!$C$22,Basis!$C$22,EOMONTH(C26,12))</f>
        <v>47634</v>
      </c>
      <c r="D27" s="19" t="e">
        <f t="shared" si="2"/>
        <v>#N/A</v>
      </c>
      <c r="E27" s="19" t="e">
        <f t="shared" si="3"/>
        <v>#N/A</v>
      </c>
      <c r="F27" s="17">
        <f>IF(EOMONTH(F26,12)&gt;Basis!$D$22,Basis!$D$22,EOMONTH(F26,12))</f>
        <v>47634</v>
      </c>
      <c r="G27" s="165" t="e">
        <f t="shared" si="4"/>
        <v>#N/A</v>
      </c>
      <c r="H27" s="182">
        <f t="shared" si="0"/>
        <v>0</v>
      </c>
      <c r="I27" s="168" t="e">
        <f t="shared" si="5"/>
        <v>#N/A</v>
      </c>
      <c r="J27" s="23" t="e">
        <f t="shared" si="6"/>
        <v>#N/A</v>
      </c>
    </row>
    <row r="28" spans="1:10" x14ac:dyDescent="0.2">
      <c r="A28" s="175">
        <f>IF(EOMONTH(A27,12)&gt;Basis!$B$22,Basis!$B$22,EOMONTH(A27,12))</f>
        <v>47118</v>
      </c>
      <c r="B28" s="176">
        <f t="shared" si="1"/>
        <v>0</v>
      </c>
      <c r="C28" s="154">
        <f>IF(EOMONTH(C27,12)&gt;Basis!$C$22,Basis!$C$22,EOMONTH(C27,12))</f>
        <v>47999</v>
      </c>
      <c r="D28" s="19" t="e">
        <f t="shared" si="2"/>
        <v>#N/A</v>
      </c>
      <c r="E28" s="19" t="e">
        <f t="shared" si="3"/>
        <v>#N/A</v>
      </c>
      <c r="F28" s="17">
        <f>IF(EOMONTH(F27,12)&gt;Basis!$D$22,Basis!$D$22,EOMONTH(F27,12))</f>
        <v>47999</v>
      </c>
      <c r="G28" s="165" t="e">
        <f t="shared" si="4"/>
        <v>#N/A</v>
      </c>
      <c r="H28" s="182">
        <f t="shared" si="0"/>
        <v>0</v>
      </c>
      <c r="I28" s="168" t="e">
        <f t="shared" si="5"/>
        <v>#N/A</v>
      </c>
      <c r="J28" s="23" t="e">
        <f t="shared" si="6"/>
        <v>#N/A</v>
      </c>
    </row>
    <row r="29" spans="1:10" x14ac:dyDescent="0.2">
      <c r="A29" s="175">
        <f>IF(EOMONTH(A28,12)&gt;Basis!$B$22,Basis!$B$22,EOMONTH(A28,12))</f>
        <v>47118</v>
      </c>
      <c r="B29" s="176">
        <f t="shared" si="1"/>
        <v>0</v>
      </c>
      <c r="C29" s="154">
        <f>IF(EOMONTH(C28,12)&gt;Basis!$C$22,Basis!$C$22,EOMONTH(C28,12))</f>
        <v>48365</v>
      </c>
      <c r="D29" s="19" t="e">
        <f t="shared" si="2"/>
        <v>#N/A</v>
      </c>
      <c r="E29" s="19" t="e">
        <f t="shared" si="3"/>
        <v>#N/A</v>
      </c>
      <c r="F29" s="17">
        <f>IF(EOMONTH(F28,12)&gt;Basis!$D$22,Basis!$D$22,EOMONTH(F28,12))</f>
        <v>48365</v>
      </c>
      <c r="G29" s="165" t="e">
        <f t="shared" si="4"/>
        <v>#N/A</v>
      </c>
      <c r="H29" s="182">
        <f t="shared" si="0"/>
        <v>0</v>
      </c>
      <c r="I29" s="168" t="e">
        <f t="shared" si="5"/>
        <v>#N/A</v>
      </c>
      <c r="J29" s="23" t="e">
        <f t="shared" si="6"/>
        <v>#N/A</v>
      </c>
    </row>
    <row r="30" spans="1:10" x14ac:dyDescent="0.2">
      <c r="A30" s="175">
        <f>IF(EOMONTH(A29,12)&gt;Basis!$B$22,Basis!$B$22,EOMONTH(A29,12))</f>
        <v>47118</v>
      </c>
      <c r="B30" s="176">
        <f t="shared" si="1"/>
        <v>0</v>
      </c>
      <c r="C30" s="154">
        <f>IF(EOMONTH(C29,12)&gt;Basis!$C$22,Basis!$C$22,EOMONTH(C29,12))</f>
        <v>48730</v>
      </c>
      <c r="D30" s="19" t="e">
        <f t="shared" si="2"/>
        <v>#N/A</v>
      </c>
      <c r="E30" s="19" t="e">
        <f t="shared" si="3"/>
        <v>#N/A</v>
      </c>
      <c r="F30" s="17">
        <f>IF(EOMONTH(F29,12)&gt;Basis!$D$22,Basis!$D$22,EOMONTH(F29,12))</f>
        <v>48730</v>
      </c>
      <c r="G30" s="165" t="e">
        <f t="shared" si="4"/>
        <v>#N/A</v>
      </c>
      <c r="H30" s="182">
        <f t="shared" si="0"/>
        <v>0</v>
      </c>
      <c r="I30" s="168" t="e">
        <f t="shared" si="5"/>
        <v>#N/A</v>
      </c>
      <c r="J30" s="23" t="e">
        <f t="shared" si="6"/>
        <v>#N/A</v>
      </c>
    </row>
    <row r="31" spans="1:10" x14ac:dyDescent="0.2">
      <c r="A31" s="175">
        <f>IF(EOMONTH(A30,12)&gt;Basis!$B$22,Basis!$B$22,EOMONTH(A30,12))</f>
        <v>47118</v>
      </c>
      <c r="B31" s="176">
        <f t="shared" si="1"/>
        <v>0</v>
      </c>
      <c r="C31" s="154">
        <f>IF(EOMONTH(C30,12)&gt;Basis!$C$22,Basis!$C$22,EOMONTH(C30,12))</f>
        <v>49095</v>
      </c>
      <c r="D31" s="19" t="e">
        <f t="shared" si="2"/>
        <v>#N/A</v>
      </c>
      <c r="E31" s="19" t="e">
        <f t="shared" si="3"/>
        <v>#N/A</v>
      </c>
      <c r="F31" s="17">
        <f>IF(EOMONTH(F30,12)&gt;Basis!$D$22,Basis!$D$22,EOMONTH(F30,12))</f>
        <v>49095</v>
      </c>
      <c r="G31" s="165" t="e">
        <f t="shared" si="4"/>
        <v>#N/A</v>
      </c>
      <c r="H31" s="182">
        <f t="shared" si="0"/>
        <v>0</v>
      </c>
      <c r="I31" s="168" t="e">
        <f t="shared" si="5"/>
        <v>#N/A</v>
      </c>
      <c r="J31" s="23" t="e">
        <f t="shared" si="6"/>
        <v>#N/A</v>
      </c>
    </row>
    <row r="32" spans="1:10" x14ac:dyDescent="0.2">
      <c r="A32" s="175">
        <f>IF(EOMONTH(A31,12)&gt;Basis!$B$22,Basis!$B$22,EOMONTH(A31,12))</f>
        <v>47118</v>
      </c>
      <c r="B32" s="176">
        <f t="shared" si="1"/>
        <v>0</v>
      </c>
      <c r="C32" s="154">
        <f>IF(EOMONTH(C31,12)&gt;Basis!$C$22,Basis!$C$22,EOMONTH(C31,12))</f>
        <v>49460</v>
      </c>
      <c r="D32" s="19" t="e">
        <f t="shared" si="2"/>
        <v>#N/A</v>
      </c>
      <c r="E32" s="19" t="e">
        <f t="shared" si="3"/>
        <v>#N/A</v>
      </c>
      <c r="F32" s="17">
        <f>IF(EOMONTH(F31,12)&gt;Basis!$D$22,Basis!$D$22,EOMONTH(F31,12))</f>
        <v>49309</v>
      </c>
      <c r="G32" s="165">
        <f t="shared" si="4"/>
        <v>0</v>
      </c>
      <c r="H32" s="182">
        <f t="shared" si="0"/>
        <v>0</v>
      </c>
      <c r="I32" s="168" t="e">
        <f t="shared" si="5"/>
        <v>#N/A</v>
      </c>
      <c r="J32" s="23" t="e">
        <f t="shared" si="6"/>
        <v>#N/A</v>
      </c>
    </row>
    <row r="33" spans="1:11" x14ac:dyDescent="0.2">
      <c r="A33" s="175">
        <f>IF(EOMONTH(A32,12)&gt;Basis!$B$22,Basis!$B$22,EOMONTH(A32,12))</f>
        <v>47118</v>
      </c>
      <c r="B33" s="176">
        <f t="shared" si="1"/>
        <v>0</v>
      </c>
      <c r="C33" s="154">
        <f>IF(EOMONTH(C32,12)&gt;Basis!$C$22,Basis!$C$22,EOMONTH(C32,12))</f>
        <v>49490</v>
      </c>
      <c r="D33" s="19">
        <f t="shared" si="2"/>
        <v>0</v>
      </c>
      <c r="E33" s="19">
        <f t="shared" si="3"/>
        <v>0</v>
      </c>
      <c r="F33" s="17">
        <f>IF(EOMONTH(F32,12)&gt;Basis!$D$22,Basis!$D$22,EOMONTH(F32,12))</f>
        <v>49309</v>
      </c>
      <c r="G33" s="165">
        <f t="shared" si="4"/>
        <v>0</v>
      </c>
      <c r="H33" s="182">
        <f t="shared" si="0"/>
        <v>0</v>
      </c>
      <c r="I33" s="168" t="e">
        <f t="shared" si="5"/>
        <v>#N/A</v>
      </c>
      <c r="J33" s="23" t="e">
        <f t="shared" si="6"/>
        <v>#N/A</v>
      </c>
    </row>
    <row r="34" spans="1:11" x14ac:dyDescent="0.2">
      <c r="A34" s="175">
        <f>IF(EOMONTH(A33,12)&gt;Basis!$B$22,Basis!$B$22,EOMONTH(A33,12))</f>
        <v>47118</v>
      </c>
      <c r="B34" s="176">
        <f t="shared" si="1"/>
        <v>0</v>
      </c>
      <c r="C34" s="154">
        <f>IF(EOMONTH(C33,12)&gt;Basis!$C$22,Basis!$C$22,EOMONTH(C33,12))</f>
        <v>49490</v>
      </c>
      <c r="D34" s="19">
        <f t="shared" si="2"/>
        <v>0</v>
      </c>
      <c r="E34" s="19">
        <f t="shared" si="3"/>
        <v>0</v>
      </c>
      <c r="F34" s="17">
        <f>IF(EOMONTH(F33,12)&gt;Basis!$D$22,Basis!$D$22,EOMONTH(F33,12))</f>
        <v>49309</v>
      </c>
      <c r="G34" s="165">
        <f t="shared" si="4"/>
        <v>0</v>
      </c>
      <c r="H34" s="182">
        <f t="shared" si="0"/>
        <v>0</v>
      </c>
      <c r="I34" s="168" t="e">
        <f t="shared" si="5"/>
        <v>#N/A</v>
      </c>
      <c r="J34" s="23" t="e">
        <f t="shared" si="6"/>
        <v>#N/A</v>
      </c>
    </row>
    <row r="35" spans="1:11" x14ac:dyDescent="0.2">
      <c r="A35" s="175">
        <f>IF(EOMONTH(A34,12)&gt;Basis!$B$22,Basis!$B$22,EOMONTH(A34,12))</f>
        <v>47118</v>
      </c>
      <c r="B35" s="176">
        <f t="shared" si="1"/>
        <v>0</v>
      </c>
      <c r="C35" s="154">
        <f>IF(EOMONTH(C34,12)&gt;Basis!$C$22,Basis!$C$22,EOMONTH(C34,12))</f>
        <v>49490</v>
      </c>
      <c r="D35" s="19">
        <f t="shared" si="2"/>
        <v>0</v>
      </c>
      <c r="E35" s="19">
        <f t="shared" si="3"/>
        <v>0</v>
      </c>
      <c r="F35" s="17">
        <f>IF(EOMONTH(F34,12)&gt;Basis!$D$22,Basis!$D$22,EOMONTH(F34,12))</f>
        <v>49309</v>
      </c>
      <c r="G35" s="165">
        <f t="shared" si="4"/>
        <v>0</v>
      </c>
      <c r="H35" s="182">
        <f t="shared" si="0"/>
        <v>0</v>
      </c>
      <c r="I35" s="168" t="e">
        <f t="shared" si="5"/>
        <v>#N/A</v>
      </c>
      <c r="J35" s="23" t="e">
        <f t="shared" si="6"/>
        <v>#N/A</v>
      </c>
    </row>
    <row r="36" spans="1:11" x14ac:dyDescent="0.2">
      <c r="A36" s="175">
        <f>IF(EOMONTH(A35,12)&gt;Basis!$B$22,Basis!$B$22,EOMONTH(A35,12))</f>
        <v>47118</v>
      </c>
      <c r="B36" s="176">
        <f t="shared" si="1"/>
        <v>0</v>
      </c>
      <c r="C36" s="154">
        <f>IF(EOMONTH(C35,12)&gt;Basis!$C$22,Basis!$C$22,EOMONTH(C35,12))</f>
        <v>49490</v>
      </c>
      <c r="D36" s="19">
        <f t="shared" si="2"/>
        <v>0</v>
      </c>
      <c r="E36" s="19">
        <f t="shared" si="3"/>
        <v>0</v>
      </c>
      <c r="F36" s="17">
        <f>IF(EOMONTH(F35,12)&gt;Basis!$D$22,Basis!$D$22,EOMONTH(F35,12))</f>
        <v>49309</v>
      </c>
      <c r="G36" s="165">
        <f t="shared" si="4"/>
        <v>0</v>
      </c>
      <c r="H36" s="182">
        <f t="shared" si="0"/>
        <v>0</v>
      </c>
      <c r="I36" s="168" t="e">
        <f t="shared" si="5"/>
        <v>#N/A</v>
      </c>
      <c r="J36" s="23" t="e">
        <f t="shared" si="6"/>
        <v>#N/A</v>
      </c>
    </row>
    <row r="37" spans="1:11" x14ac:dyDescent="0.2">
      <c r="A37" s="175">
        <f>IF(EOMONTH(A36,12)&gt;Basis!$B$22,Basis!$B$22,EOMONTH(A36,12))</f>
        <v>47118</v>
      </c>
      <c r="B37" s="176">
        <f t="shared" si="1"/>
        <v>0</v>
      </c>
      <c r="C37" s="154">
        <f>IF(EOMONTH(C36,12)&gt;Basis!$C$22,Basis!$C$22,EOMONTH(C36,12))</f>
        <v>49490</v>
      </c>
      <c r="D37" s="19">
        <f t="shared" si="2"/>
        <v>0</v>
      </c>
      <c r="E37" s="19">
        <f t="shared" si="3"/>
        <v>0</v>
      </c>
      <c r="F37" s="17">
        <f>IF(EOMONTH(F36,12)&gt;Basis!$D$22,Basis!$D$22,EOMONTH(F36,12))</f>
        <v>49309</v>
      </c>
      <c r="G37" s="165">
        <f t="shared" si="4"/>
        <v>0</v>
      </c>
      <c r="H37" s="182">
        <f t="shared" si="0"/>
        <v>0</v>
      </c>
      <c r="I37" s="168" t="e">
        <f t="shared" si="5"/>
        <v>#N/A</v>
      </c>
      <c r="J37" s="23" t="e">
        <f t="shared" si="6"/>
        <v>#N/A</v>
      </c>
    </row>
    <row r="38" spans="1:11" x14ac:dyDescent="0.2">
      <c r="A38" s="175">
        <f>IF(EOMONTH(A37,12)&gt;Basis!$B$22,Basis!$B$22,EOMONTH(A37,12))</f>
        <v>47118</v>
      </c>
      <c r="B38" s="176">
        <f t="shared" si="1"/>
        <v>0</v>
      </c>
      <c r="C38" s="154">
        <f>IF(EOMONTH(C37,12)&gt;Basis!$C$22,Basis!$C$22,EOMONTH(C37,12))</f>
        <v>49490</v>
      </c>
      <c r="D38" s="19">
        <f t="shared" si="2"/>
        <v>0</v>
      </c>
      <c r="E38" s="19">
        <f t="shared" si="3"/>
        <v>0</v>
      </c>
      <c r="F38" s="17">
        <f>IF(EOMONTH(F37,12)&gt;Basis!$D$22,Basis!$D$22,EOMONTH(F37,12))</f>
        <v>49309</v>
      </c>
      <c r="G38" s="165">
        <f t="shared" si="4"/>
        <v>0</v>
      </c>
      <c r="H38" s="182">
        <f t="shared" si="0"/>
        <v>0</v>
      </c>
      <c r="I38" s="168" t="e">
        <f t="shared" si="5"/>
        <v>#N/A</v>
      </c>
      <c r="J38" s="23" t="e">
        <f t="shared" si="6"/>
        <v>#N/A</v>
      </c>
    </row>
    <row r="39" spans="1:11" x14ac:dyDescent="0.2">
      <c r="A39" s="177">
        <f>IF(EOMONTH(A38,12)&gt;Basis!$B$22,Basis!$B$22,EOMONTH(A38,12))</f>
        <v>47118</v>
      </c>
      <c r="B39" s="178" t="e">
        <f t="shared" si="1"/>
        <v>#N/A</v>
      </c>
      <c r="C39" s="155">
        <f>IF(EOMONTH(C38,12)&gt;Basis!$C$22,Basis!$C$22,EOMONTH(C38,12))</f>
        <v>49490</v>
      </c>
      <c r="D39" s="20" t="e">
        <f t="shared" si="2"/>
        <v>#N/A</v>
      </c>
      <c r="E39" s="20" t="e">
        <f t="shared" si="3"/>
        <v>#N/A</v>
      </c>
      <c r="F39" s="18">
        <f>IF(EOMONTH(F38,12)&gt;Basis!$D$22,Basis!$D$22,EOMONTH(F38,12))</f>
        <v>49309</v>
      </c>
      <c r="G39" s="166" t="e">
        <f t="shared" si="4"/>
        <v>#N/A</v>
      </c>
      <c r="H39" s="183" t="e">
        <f t="shared" si="0"/>
        <v>#N/A</v>
      </c>
      <c r="I39" s="168"/>
      <c r="J39" s="24" t="e">
        <f t="shared" si="6"/>
        <v>#N/A</v>
      </c>
    </row>
    <row r="40" spans="1:11" x14ac:dyDescent="0.2">
      <c r="A40" s="15"/>
      <c r="B40" s="15"/>
      <c r="C40" s="15"/>
      <c r="D40" s="16"/>
      <c r="E40" s="16"/>
      <c r="F40" s="15"/>
      <c r="G40" s="15"/>
      <c r="H40" s="44"/>
      <c r="I40" s="21" t="s">
        <v>5</v>
      </c>
      <c r="J40" s="46" t="e">
        <f>SUM(J15:J39)</f>
        <v>#N/A</v>
      </c>
      <c r="K40" s="45"/>
    </row>
    <row r="41" spans="1:11" x14ac:dyDescent="0.2">
      <c r="C41" s="11"/>
      <c r="I41" s="15"/>
      <c r="J41" s="15"/>
    </row>
    <row r="42" spans="1:11" x14ac:dyDescent="0.2">
      <c r="C42" s="11"/>
    </row>
    <row r="43" spans="1:11" x14ac:dyDescent="0.2">
      <c r="A43" s="11" t="s">
        <v>50</v>
      </c>
    </row>
    <row r="44" spans="1:11" x14ac:dyDescent="0.2">
      <c r="A44" s="11" t="s">
        <v>52</v>
      </c>
    </row>
    <row r="45" spans="1:11" x14ac:dyDescent="0.2">
      <c r="A45" s="11" t="s">
        <v>51</v>
      </c>
    </row>
    <row r="46" spans="1:11" x14ac:dyDescent="0.2">
      <c r="C46" s="11"/>
    </row>
    <row r="47" spans="1:11" x14ac:dyDescent="0.2">
      <c r="C47" s="11"/>
    </row>
    <row r="48" spans="1:11" x14ac:dyDescent="0.2">
      <c r="C48" s="11"/>
    </row>
    <row r="49" spans="3:3" x14ac:dyDescent="0.2">
      <c r="C49" s="11"/>
    </row>
    <row r="50" spans="3:3" x14ac:dyDescent="0.2">
      <c r="C50" s="11"/>
    </row>
    <row r="51" spans="3:3" x14ac:dyDescent="0.2">
      <c r="C51" s="11"/>
    </row>
    <row r="52" spans="3:3" x14ac:dyDescent="0.2">
      <c r="C52" s="11"/>
    </row>
    <row r="53" spans="3:3" x14ac:dyDescent="0.2">
      <c r="C53" s="11"/>
    </row>
    <row r="54" spans="3:3" x14ac:dyDescent="0.2">
      <c r="C54" s="11"/>
    </row>
    <row r="55" spans="3:3" x14ac:dyDescent="0.2">
      <c r="C55" s="11"/>
    </row>
    <row r="56" spans="3:3" x14ac:dyDescent="0.2">
      <c r="C56" s="11"/>
    </row>
  </sheetData>
  <mergeCells count="3">
    <mergeCell ref="F13:G13"/>
    <mergeCell ref="C13:E13"/>
    <mergeCell ref="A13:B13"/>
  </mergeCells>
  <pageMargins left="0.7" right="0.7" top="0.75" bottom="0.75" header="0.3" footer="0.3"/>
  <pageSetup paperSize="9" scale="86" orientation="landscape" r:id="rId1"/>
  <headerFooter>
    <oddFooter>&amp;L&amp;"Arial,Regular"&amp;8ear &amp;D &amp;T
Lane Clark &amp;&amp; Peacock Page &amp;P of &amp;N&amp;R&amp;"Arial,Regular"&amp;8&amp;Z&amp;F[&amp;A]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K56"/>
  <sheetViews>
    <sheetView zoomScaleNormal="100" workbookViewId="0">
      <selection activeCell="A38" sqref="A38:D38"/>
    </sheetView>
  </sheetViews>
  <sheetFormatPr defaultColWidth="9.140625" defaultRowHeight="12.75" x14ac:dyDescent="0.2"/>
  <cols>
    <col min="1" max="1" width="22.85546875" style="9" customWidth="1"/>
    <col min="2" max="2" width="12.140625" style="9" customWidth="1"/>
    <col min="3" max="3" width="13.140625" style="9" customWidth="1"/>
    <col min="4" max="4" width="15.85546875" style="9" customWidth="1"/>
    <col min="5" max="5" width="13.140625" style="9" customWidth="1"/>
    <col min="6" max="6" width="20.7109375" style="9" bestFit="1" customWidth="1"/>
    <col min="7" max="7" width="10.42578125" style="9" customWidth="1"/>
    <col min="8" max="8" width="15.140625" style="9" bestFit="1" customWidth="1"/>
    <col min="9" max="9" width="17.5703125" style="9" bestFit="1" customWidth="1"/>
    <col min="10" max="10" width="26" style="9" bestFit="1" customWidth="1"/>
    <col min="11" max="11" width="17.85546875" style="9" customWidth="1"/>
    <col min="12" max="16" width="9.140625" style="9"/>
    <col min="17" max="17" width="12.7109375" style="9" customWidth="1"/>
    <col min="18" max="19" width="9.140625" style="9"/>
    <col min="20" max="26" width="15.7109375" style="9" customWidth="1"/>
    <col min="27" max="16384" width="9.140625" style="9"/>
  </cols>
  <sheetData>
    <row r="2" spans="1:11" x14ac:dyDescent="0.2">
      <c r="A2" s="12" t="s">
        <v>4</v>
      </c>
      <c r="B2" s="13">
        <f>Accounting_date_prev</f>
        <v>42886</v>
      </c>
      <c r="I2" s="10"/>
    </row>
    <row r="3" spans="1:11" x14ac:dyDescent="0.2">
      <c r="I3" s="25"/>
      <c r="J3" s="25"/>
    </row>
    <row r="4" spans="1:11" x14ac:dyDescent="0.2">
      <c r="A4" s="14" t="s">
        <v>146</v>
      </c>
      <c r="B4" s="152">
        <v>42096</v>
      </c>
      <c r="D4" s="10"/>
      <c r="H4" s="14"/>
      <c r="I4" s="25"/>
      <c r="J4" s="25"/>
    </row>
    <row r="5" spans="1:11" x14ac:dyDescent="0.2">
      <c r="A5" s="14" t="s">
        <v>147</v>
      </c>
      <c r="B5" s="152">
        <v>43203</v>
      </c>
      <c r="D5" s="10"/>
      <c r="H5" s="14"/>
      <c r="I5" s="25"/>
      <c r="J5" s="25"/>
    </row>
    <row r="6" spans="1:11" x14ac:dyDescent="0.2">
      <c r="A6" s="14"/>
      <c r="B6" s="14"/>
      <c r="E6" s="10">
        <v>42095</v>
      </c>
      <c r="H6" s="14"/>
      <c r="I6" s="25"/>
      <c r="J6" s="25"/>
    </row>
    <row r="7" spans="1:11" x14ac:dyDescent="0.2">
      <c r="A7" s="12" t="s">
        <v>7</v>
      </c>
      <c r="B7" s="34" t="str">
        <f>IF(B2&gt;=B5,"2018 RP",IF(B2&gt;=B4,"2015 RP","2012 RP"))</f>
        <v>2015 RP</v>
      </c>
      <c r="E7" s="10">
        <v>42369</v>
      </c>
      <c r="H7" s="14"/>
      <c r="I7" s="33"/>
      <c r="J7" s="25"/>
      <c r="K7" s="10"/>
    </row>
    <row r="8" spans="1:11" x14ac:dyDescent="0.2">
      <c r="A8" s="12" t="s">
        <v>148</v>
      </c>
      <c r="B8" s="152">
        <f>IF(B7="2018 RP",Basis!B22,IF(B7="2015 RP",Basis!C22,Basis!D22))</f>
        <v>49490</v>
      </c>
      <c r="E8" s="10"/>
      <c r="H8" s="14"/>
      <c r="I8" s="33"/>
      <c r="J8" s="25"/>
      <c r="K8" s="10"/>
    </row>
    <row r="9" spans="1:11" ht="38.25" x14ac:dyDescent="0.2">
      <c r="A9" s="9" t="s">
        <v>13</v>
      </c>
      <c r="B9" s="47">
        <f>first_month_prevyr</f>
        <v>0</v>
      </c>
      <c r="D9" s="29" t="s">
        <v>16</v>
      </c>
      <c r="E9" s="30" t="str">
        <f>IF(AND($B$2&gt;$E$6,$B$2&lt;$E$7),"yes","no")</f>
        <v>no</v>
      </c>
    </row>
    <row r="10" spans="1:11" x14ac:dyDescent="0.2">
      <c r="A10" s="9" t="s">
        <v>12</v>
      </c>
      <c r="B10" s="31" t="e">
        <f>DR_prev</f>
        <v>#N/A</v>
      </c>
      <c r="D10" s="9" t="s">
        <v>26</v>
      </c>
      <c r="E10" s="35">
        <f>percentage_cont</f>
        <v>0.12</v>
      </c>
      <c r="I10" s="83"/>
    </row>
    <row r="11" spans="1:11" x14ac:dyDescent="0.2">
      <c r="A11" s="9" t="s">
        <v>15</v>
      </c>
      <c r="B11" s="31" t="e">
        <f>Inflation_prev</f>
        <v>#N/A</v>
      </c>
      <c r="D11" s="9" t="s">
        <v>30</v>
      </c>
      <c r="E11" s="35">
        <f>$E$10/0.11</f>
        <v>1.0909090909090908</v>
      </c>
    </row>
    <row r="12" spans="1:11" s="25" customFormat="1" x14ac:dyDescent="0.2">
      <c r="A12" s="36"/>
      <c r="B12" s="36"/>
      <c r="C12" s="36"/>
      <c r="D12" s="37"/>
      <c r="E12" s="36"/>
      <c r="F12" s="36"/>
      <c r="G12" s="38"/>
      <c r="H12" s="36"/>
      <c r="I12" s="36"/>
      <c r="J12" s="36"/>
    </row>
    <row r="13" spans="1:11" x14ac:dyDescent="0.2">
      <c r="A13" s="244" t="s">
        <v>145</v>
      </c>
      <c r="B13" s="245"/>
      <c r="C13" s="244" t="s">
        <v>8</v>
      </c>
      <c r="D13" s="245"/>
      <c r="E13" s="246"/>
      <c r="F13" s="242" t="s">
        <v>9</v>
      </c>
      <c r="G13" s="243"/>
      <c r="H13" s="32"/>
      <c r="I13" s="32"/>
      <c r="J13" s="32"/>
    </row>
    <row r="14" spans="1:11" ht="38.25" x14ac:dyDescent="0.2">
      <c r="A14" s="156" t="s">
        <v>4</v>
      </c>
      <c r="B14" s="157" t="s">
        <v>28</v>
      </c>
      <c r="C14" s="40" t="s">
        <v>4</v>
      </c>
      <c r="D14" s="41" t="s">
        <v>28</v>
      </c>
      <c r="E14" s="42" t="s">
        <v>29</v>
      </c>
      <c r="F14" s="43" t="s">
        <v>27</v>
      </c>
      <c r="G14" s="41" t="s">
        <v>28</v>
      </c>
      <c r="H14" s="169" t="s">
        <v>6</v>
      </c>
      <c r="I14" s="21" t="s">
        <v>10</v>
      </c>
      <c r="J14" s="21" t="s">
        <v>11</v>
      </c>
    </row>
    <row r="15" spans="1:11" x14ac:dyDescent="0.2">
      <c r="A15" s="158">
        <f>$B$2</f>
        <v>42886</v>
      </c>
      <c r="B15" s="159" t="e">
        <f>IF(MONTH(B2)=12,$B$9*12,(($B$9*12)*(1-MONTH($B$2)/12))+(($B$9*12)*(1+$B$11)*(MONTH($B$2)/12)))</f>
        <v>#N/A</v>
      </c>
      <c r="C15" s="153">
        <f>$B$2</f>
        <v>42886</v>
      </c>
      <c r="D15" s="27" t="e">
        <f>IF(MONTH(B2)=12,$B$9*12,(($B$9*12)*(1-MONTH($B$2)/12))+(($B$9*12)*(1+$B$11)*(MONTH($B$2)/12)))</f>
        <v>#N/A</v>
      </c>
      <c r="E15" s="28" t="e">
        <f>$D$15*($E$7-$C$15)/365+$D$15*(1-(($E$7-$C$15)/365))*$E$11</f>
        <v>#N/A</v>
      </c>
      <c r="F15" s="26">
        <f>$B$2</f>
        <v>42886</v>
      </c>
      <c r="G15" s="164" t="e">
        <f>IF(MONTH(B2)=12,$B$9*12,(($B$9*12)*(1-MONTH($B$2)/12))+(($B$9*12)*(1+$B$11)*(MONTH($B$2)/12)))</f>
        <v>#N/A</v>
      </c>
      <c r="H15" s="170" t="e">
        <f t="shared" ref="H15:H39" si="0">IF($B$7="2018 RP",B15,IF($B$7="2015 RP",IF($E$9="yes",E15,D15),G15))</f>
        <v>#N/A</v>
      </c>
      <c r="I15" s="167" t="e">
        <f>(1+$B$10)^-0.5</f>
        <v>#N/A</v>
      </c>
      <c r="J15" s="22" t="e">
        <f>H15*I15</f>
        <v>#N/A</v>
      </c>
    </row>
    <row r="16" spans="1:11" x14ac:dyDescent="0.2">
      <c r="A16" s="160">
        <f>IF(EOMONTH(A15,12)&gt;Basis!$B$22,Basis!$B$22,EOMONTH(A15,12))</f>
        <v>43251</v>
      </c>
      <c r="B16" s="161" t="e">
        <f t="shared" ref="B16:B39" si="1">IF(A17=A16,0,B15*(1+$B$11))*(A17-A16)/365</f>
        <v>#N/A</v>
      </c>
      <c r="C16" s="154">
        <f>IF(EOMONTH(C15,12)&gt;Basis!$C$22,Basis!$C$22,EOMONTH(C15,12))</f>
        <v>43251</v>
      </c>
      <c r="D16" s="19" t="e">
        <f t="shared" ref="D16:D39" si="2">IF(C17=C16,0,D15*(1+$B$11))*(C17-C16)/365</f>
        <v>#N/A</v>
      </c>
      <c r="E16" s="19" t="e">
        <f t="shared" ref="E16:E39" si="3">D16*$E$11</f>
        <v>#N/A</v>
      </c>
      <c r="F16" s="17">
        <f>IF(EOMONTH(F15,12)&gt;Basis!$D$22,Basis!$D$22,EOMONTH(F15,12))</f>
        <v>43251</v>
      </c>
      <c r="G16" s="165" t="e">
        <f t="shared" ref="G16:G39" si="4">IF(F17=F16,0,G15*(1+$B$11))*(F17-F16)/365</f>
        <v>#N/A</v>
      </c>
      <c r="H16" s="171" t="e">
        <f t="shared" si="0"/>
        <v>#N/A</v>
      </c>
      <c r="I16" s="168" t="e">
        <f t="shared" ref="I16:I38" si="5">I15*(1+$B$10)^-(0.5+(C17-C16)/2/365)</f>
        <v>#N/A</v>
      </c>
      <c r="J16" s="23" t="e">
        <f t="shared" ref="J16:J39" si="6">H16*I16</f>
        <v>#N/A</v>
      </c>
    </row>
    <row r="17" spans="1:10" x14ac:dyDescent="0.2">
      <c r="A17" s="160">
        <f>IF(EOMONTH(A16,12)&gt;Basis!$B$22,Basis!$B$22,EOMONTH(A16,12))</f>
        <v>43616</v>
      </c>
      <c r="B17" s="161" t="e">
        <f t="shared" si="1"/>
        <v>#N/A</v>
      </c>
      <c r="C17" s="154">
        <f>IF(EOMONTH(C16,12)&gt;Basis!$C$22,Basis!$C$22,EOMONTH(C16,12))</f>
        <v>43616</v>
      </c>
      <c r="D17" s="19" t="e">
        <f t="shared" si="2"/>
        <v>#N/A</v>
      </c>
      <c r="E17" s="19" t="e">
        <f t="shared" si="3"/>
        <v>#N/A</v>
      </c>
      <c r="F17" s="17">
        <f>IF(EOMONTH(F16,12)&gt;Basis!$D$22,Basis!$D$22,EOMONTH(F16,12))</f>
        <v>43616</v>
      </c>
      <c r="G17" s="165" t="e">
        <f t="shared" si="4"/>
        <v>#N/A</v>
      </c>
      <c r="H17" s="171" t="e">
        <f t="shared" si="0"/>
        <v>#N/A</v>
      </c>
      <c r="I17" s="168" t="e">
        <f t="shared" si="5"/>
        <v>#N/A</v>
      </c>
      <c r="J17" s="23" t="e">
        <f t="shared" si="6"/>
        <v>#N/A</v>
      </c>
    </row>
    <row r="18" spans="1:10" x14ac:dyDescent="0.2">
      <c r="A18" s="160">
        <f>IF(EOMONTH(A17,12)&gt;Basis!$B$22,Basis!$B$22,EOMONTH(A17,12))</f>
        <v>43982</v>
      </c>
      <c r="B18" s="161" t="e">
        <f t="shared" si="1"/>
        <v>#N/A</v>
      </c>
      <c r="C18" s="154">
        <f>IF(EOMONTH(C17,12)&gt;Basis!$C$22,Basis!$C$22,EOMONTH(C17,12))</f>
        <v>43982</v>
      </c>
      <c r="D18" s="19" t="e">
        <f t="shared" si="2"/>
        <v>#N/A</v>
      </c>
      <c r="E18" s="19" t="e">
        <f t="shared" si="3"/>
        <v>#N/A</v>
      </c>
      <c r="F18" s="17">
        <f>IF(EOMONTH(F17,12)&gt;Basis!$D$22,Basis!$D$22,EOMONTH(F17,12))</f>
        <v>43982</v>
      </c>
      <c r="G18" s="165" t="e">
        <f t="shared" si="4"/>
        <v>#N/A</v>
      </c>
      <c r="H18" s="171" t="e">
        <f t="shared" si="0"/>
        <v>#N/A</v>
      </c>
      <c r="I18" s="168" t="e">
        <f t="shared" si="5"/>
        <v>#N/A</v>
      </c>
      <c r="J18" s="23" t="e">
        <f t="shared" si="6"/>
        <v>#N/A</v>
      </c>
    </row>
    <row r="19" spans="1:10" x14ac:dyDescent="0.2">
      <c r="A19" s="160">
        <f>IF(EOMONTH(A18,12)&gt;Basis!$B$22,Basis!$B$22,EOMONTH(A18,12))</f>
        <v>44347</v>
      </c>
      <c r="B19" s="161" t="e">
        <f t="shared" si="1"/>
        <v>#N/A</v>
      </c>
      <c r="C19" s="154">
        <f>IF(EOMONTH(C18,12)&gt;Basis!$C$22,Basis!$C$22,EOMONTH(C18,12))</f>
        <v>44347</v>
      </c>
      <c r="D19" s="19" t="e">
        <f t="shared" si="2"/>
        <v>#N/A</v>
      </c>
      <c r="E19" s="19" t="e">
        <f t="shared" si="3"/>
        <v>#N/A</v>
      </c>
      <c r="F19" s="17">
        <f>IF(EOMONTH(F18,12)&gt;Basis!$D$22,Basis!$D$22,EOMONTH(F18,12))</f>
        <v>44347</v>
      </c>
      <c r="G19" s="165" t="e">
        <f t="shared" si="4"/>
        <v>#N/A</v>
      </c>
      <c r="H19" s="171" t="e">
        <f t="shared" si="0"/>
        <v>#N/A</v>
      </c>
      <c r="I19" s="168" t="e">
        <f t="shared" si="5"/>
        <v>#N/A</v>
      </c>
      <c r="J19" s="23" t="e">
        <f t="shared" si="6"/>
        <v>#N/A</v>
      </c>
    </row>
    <row r="20" spans="1:10" x14ac:dyDescent="0.2">
      <c r="A20" s="160">
        <f>IF(EOMONTH(A19,12)&gt;Basis!$B$22,Basis!$B$22,EOMONTH(A19,12))</f>
        <v>44712</v>
      </c>
      <c r="B20" s="161" t="e">
        <f t="shared" si="1"/>
        <v>#N/A</v>
      </c>
      <c r="C20" s="154">
        <f>IF(EOMONTH(C19,12)&gt;Basis!$C$22,Basis!$C$22,EOMONTH(C19,12))</f>
        <v>44712</v>
      </c>
      <c r="D20" s="19" t="e">
        <f t="shared" si="2"/>
        <v>#N/A</v>
      </c>
      <c r="E20" s="19" t="e">
        <f t="shared" si="3"/>
        <v>#N/A</v>
      </c>
      <c r="F20" s="17">
        <f>IF(EOMONTH(F19,12)&gt;Basis!$D$22,Basis!$D$22,EOMONTH(F19,12))</f>
        <v>44712</v>
      </c>
      <c r="G20" s="165" t="e">
        <f t="shared" si="4"/>
        <v>#N/A</v>
      </c>
      <c r="H20" s="171" t="e">
        <f t="shared" si="0"/>
        <v>#N/A</v>
      </c>
      <c r="I20" s="168" t="e">
        <f t="shared" si="5"/>
        <v>#N/A</v>
      </c>
      <c r="J20" s="23" t="e">
        <f t="shared" si="6"/>
        <v>#N/A</v>
      </c>
    </row>
    <row r="21" spans="1:10" x14ac:dyDescent="0.2">
      <c r="A21" s="160">
        <f>IF(EOMONTH(A20,12)&gt;Basis!$B$22,Basis!$B$22,EOMONTH(A20,12))</f>
        <v>45077</v>
      </c>
      <c r="B21" s="161" t="e">
        <f t="shared" si="1"/>
        <v>#N/A</v>
      </c>
      <c r="C21" s="154">
        <f>IF(EOMONTH(C20,12)&gt;Basis!$C$22,Basis!$C$22,EOMONTH(C20,12))</f>
        <v>45077</v>
      </c>
      <c r="D21" s="19" t="e">
        <f t="shared" si="2"/>
        <v>#N/A</v>
      </c>
      <c r="E21" s="19" t="e">
        <f t="shared" si="3"/>
        <v>#N/A</v>
      </c>
      <c r="F21" s="17">
        <f>IF(EOMONTH(F20,12)&gt;Basis!$D$22,Basis!$D$22,EOMONTH(F20,12))</f>
        <v>45077</v>
      </c>
      <c r="G21" s="165" t="e">
        <f t="shared" si="4"/>
        <v>#N/A</v>
      </c>
      <c r="H21" s="171" t="e">
        <f t="shared" si="0"/>
        <v>#N/A</v>
      </c>
      <c r="I21" s="168" t="e">
        <f t="shared" si="5"/>
        <v>#N/A</v>
      </c>
      <c r="J21" s="23" t="e">
        <f t="shared" si="6"/>
        <v>#N/A</v>
      </c>
    </row>
    <row r="22" spans="1:10" x14ac:dyDescent="0.2">
      <c r="A22" s="160">
        <f>IF(EOMONTH(A21,12)&gt;Basis!$B$22,Basis!$B$22,EOMONTH(A21,12))</f>
        <v>45443</v>
      </c>
      <c r="B22" s="161" t="e">
        <f t="shared" si="1"/>
        <v>#N/A</v>
      </c>
      <c r="C22" s="154">
        <f>IF(EOMONTH(C21,12)&gt;Basis!$C$22,Basis!$C$22,EOMONTH(C21,12))</f>
        <v>45443</v>
      </c>
      <c r="D22" s="19" t="e">
        <f t="shared" si="2"/>
        <v>#N/A</v>
      </c>
      <c r="E22" s="19" t="e">
        <f t="shared" si="3"/>
        <v>#N/A</v>
      </c>
      <c r="F22" s="17">
        <f>IF(EOMONTH(F21,12)&gt;Basis!$D$22,Basis!$D$22,EOMONTH(F21,12))</f>
        <v>45443</v>
      </c>
      <c r="G22" s="165" t="e">
        <f t="shared" si="4"/>
        <v>#N/A</v>
      </c>
      <c r="H22" s="171" t="e">
        <f t="shared" si="0"/>
        <v>#N/A</v>
      </c>
      <c r="I22" s="168" t="e">
        <f t="shared" si="5"/>
        <v>#N/A</v>
      </c>
      <c r="J22" s="23" t="e">
        <f t="shared" si="6"/>
        <v>#N/A</v>
      </c>
    </row>
    <row r="23" spans="1:10" x14ac:dyDescent="0.2">
      <c r="A23" s="160">
        <f>IF(EOMONTH(A22,12)&gt;Basis!$B$22,Basis!$B$22,EOMONTH(A22,12))</f>
        <v>45808</v>
      </c>
      <c r="B23" s="161" t="e">
        <f t="shared" si="1"/>
        <v>#N/A</v>
      </c>
      <c r="C23" s="154">
        <f>IF(EOMONTH(C22,12)&gt;Basis!$C$22,Basis!$C$22,EOMONTH(C22,12))</f>
        <v>45808</v>
      </c>
      <c r="D23" s="19" t="e">
        <f t="shared" si="2"/>
        <v>#N/A</v>
      </c>
      <c r="E23" s="19" t="e">
        <f t="shared" si="3"/>
        <v>#N/A</v>
      </c>
      <c r="F23" s="17">
        <f>IF(EOMONTH(F22,12)&gt;Basis!$D$22,Basis!$D$22,EOMONTH(F22,12))</f>
        <v>45808</v>
      </c>
      <c r="G23" s="165" t="e">
        <f t="shared" si="4"/>
        <v>#N/A</v>
      </c>
      <c r="H23" s="171" t="e">
        <f t="shared" si="0"/>
        <v>#N/A</v>
      </c>
      <c r="I23" s="168" t="e">
        <f t="shared" si="5"/>
        <v>#N/A</v>
      </c>
      <c r="J23" s="23" t="e">
        <f t="shared" si="6"/>
        <v>#N/A</v>
      </c>
    </row>
    <row r="24" spans="1:10" x14ac:dyDescent="0.2">
      <c r="A24" s="160">
        <f>IF(EOMONTH(A23,12)&gt;Basis!$B$22,Basis!$B$22,EOMONTH(A23,12))</f>
        <v>46173</v>
      </c>
      <c r="B24" s="161" t="e">
        <f t="shared" si="1"/>
        <v>#N/A</v>
      </c>
      <c r="C24" s="154">
        <f>IF(EOMONTH(C23,12)&gt;Basis!$C$22,Basis!$C$22,EOMONTH(C23,12))</f>
        <v>46173</v>
      </c>
      <c r="D24" s="19" t="e">
        <f t="shared" si="2"/>
        <v>#N/A</v>
      </c>
      <c r="E24" s="19" t="e">
        <f t="shared" si="3"/>
        <v>#N/A</v>
      </c>
      <c r="F24" s="17">
        <f>IF(EOMONTH(F23,12)&gt;Basis!$D$22,Basis!$D$22,EOMONTH(F23,12))</f>
        <v>46173</v>
      </c>
      <c r="G24" s="165" t="e">
        <f t="shared" si="4"/>
        <v>#N/A</v>
      </c>
      <c r="H24" s="171" t="e">
        <f t="shared" si="0"/>
        <v>#N/A</v>
      </c>
      <c r="I24" s="168" t="e">
        <f t="shared" si="5"/>
        <v>#N/A</v>
      </c>
      <c r="J24" s="23" t="e">
        <f t="shared" si="6"/>
        <v>#N/A</v>
      </c>
    </row>
    <row r="25" spans="1:10" x14ac:dyDescent="0.2">
      <c r="A25" s="160">
        <f>IF(EOMONTH(A24,12)&gt;Basis!$B$22,Basis!$B$22,EOMONTH(A24,12))</f>
        <v>46538</v>
      </c>
      <c r="B25" s="161" t="e">
        <f t="shared" si="1"/>
        <v>#N/A</v>
      </c>
      <c r="C25" s="154">
        <f>IF(EOMONTH(C24,12)&gt;Basis!$C$22,Basis!$C$22,EOMONTH(C24,12))</f>
        <v>46538</v>
      </c>
      <c r="D25" s="19" t="e">
        <f t="shared" si="2"/>
        <v>#N/A</v>
      </c>
      <c r="E25" s="19" t="e">
        <f t="shared" si="3"/>
        <v>#N/A</v>
      </c>
      <c r="F25" s="17">
        <f>IF(EOMONTH(F24,12)&gt;Basis!$D$22,Basis!$D$22,EOMONTH(F24,12))</f>
        <v>46538</v>
      </c>
      <c r="G25" s="165" t="e">
        <f t="shared" si="4"/>
        <v>#N/A</v>
      </c>
      <c r="H25" s="171" t="e">
        <f t="shared" si="0"/>
        <v>#N/A</v>
      </c>
      <c r="I25" s="168" t="e">
        <f t="shared" si="5"/>
        <v>#N/A</v>
      </c>
      <c r="J25" s="23" t="e">
        <f t="shared" si="6"/>
        <v>#N/A</v>
      </c>
    </row>
    <row r="26" spans="1:10" x14ac:dyDescent="0.2">
      <c r="A26" s="160">
        <f>IF(EOMONTH(A25,12)&gt;Basis!$B$22,Basis!$B$22,EOMONTH(A25,12))</f>
        <v>46904</v>
      </c>
      <c r="B26" s="161" t="e">
        <f t="shared" si="1"/>
        <v>#N/A</v>
      </c>
      <c r="C26" s="154">
        <f>IF(EOMONTH(C25,12)&gt;Basis!$C$22,Basis!$C$22,EOMONTH(C25,12))</f>
        <v>46904</v>
      </c>
      <c r="D26" s="19" t="e">
        <f t="shared" si="2"/>
        <v>#N/A</v>
      </c>
      <c r="E26" s="19" t="e">
        <f t="shared" si="3"/>
        <v>#N/A</v>
      </c>
      <c r="F26" s="17">
        <f>IF(EOMONTH(F25,12)&gt;Basis!$D$22,Basis!$D$22,EOMONTH(F25,12))</f>
        <v>46904</v>
      </c>
      <c r="G26" s="165" t="e">
        <f t="shared" si="4"/>
        <v>#N/A</v>
      </c>
      <c r="H26" s="171" t="e">
        <f t="shared" si="0"/>
        <v>#N/A</v>
      </c>
      <c r="I26" s="168" t="e">
        <f t="shared" si="5"/>
        <v>#N/A</v>
      </c>
      <c r="J26" s="23" t="e">
        <f t="shared" si="6"/>
        <v>#N/A</v>
      </c>
    </row>
    <row r="27" spans="1:10" x14ac:dyDescent="0.2">
      <c r="A27" s="160">
        <f>IF(EOMONTH(A26,12)&gt;Basis!$B$22,Basis!$B$22,EOMONTH(A26,12))</f>
        <v>47118</v>
      </c>
      <c r="B27" s="161">
        <f t="shared" si="1"/>
        <v>0</v>
      </c>
      <c r="C27" s="154">
        <f>IF(EOMONTH(C26,12)&gt;Basis!$C$22,Basis!$C$22,EOMONTH(C26,12))</f>
        <v>47269</v>
      </c>
      <c r="D27" s="19" t="e">
        <f t="shared" si="2"/>
        <v>#N/A</v>
      </c>
      <c r="E27" s="19" t="e">
        <f t="shared" si="3"/>
        <v>#N/A</v>
      </c>
      <c r="F27" s="17">
        <f>IF(EOMONTH(F26,12)&gt;Basis!$D$22,Basis!$D$22,EOMONTH(F26,12))</f>
        <v>47269</v>
      </c>
      <c r="G27" s="165" t="e">
        <f t="shared" si="4"/>
        <v>#N/A</v>
      </c>
      <c r="H27" s="171" t="e">
        <f t="shared" si="0"/>
        <v>#N/A</v>
      </c>
      <c r="I27" s="168" t="e">
        <f t="shared" si="5"/>
        <v>#N/A</v>
      </c>
      <c r="J27" s="23" t="e">
        <f t="shared" si="6"/>
        <v>#N/A</v>
      </c>
    </row>
    <row r="28" spans="1:10" x14ac:dyDescent="0.2">
      <c r="A28" s="160">
        <f>IF(EOMONTH(A27,12)&gt;Basis!$B$22,Basis!$B$22,EOMONTH(A27,12))</f>
        <v>47118</v>
      </c>
      <c r="B28" s="161">
        <f t="shared" si="1"/>
        <v>0</v>
      </c>
      <c r="C28" s="154">
        <f>IF(EOMONTH(C27,12)&gt;Basis!$C$22,Basis!$C$22,EOMONTH(C27,12))</f>
        <v>47634</v>
      </c>
      <c r="D28" s="19" t="e">
        <f t="shared" si="2"/>
        <v>#N/A</v>
      </c>
      <c r="E28" s="19" t="e">
        <f t="shared" si="3"/>
        <v>#N/A</v>
      </c>
      <c r="F28" s="17">
        <f>IF(EOMONTH(F27,12)&gt;Basis!$D$22,Basis!$D$22,EOMONTH(F27,12))</f>
        <v>47634</v>
      </c>
      <c r="G28" s="165" t="e">
        <f t="shared" si="4"/>
        <v>#N/A</v>
      </c>
      <c r="H28" s="171" t="e">
        <f t="shared" si="0"/>
        <v>#N/A</v>
      </c>
      <c r="I28" s="168" t="e">
        <f t="shared" si="5"/>
        <v>#N/A</v>
      </c>
      <c r="J28" s="23" t="e">
        <f t="shared" si="6"/>
        <v>#N/A</v>
      </c>
    </row>
    <row r="29" spans="1:10" x14ac:dyDescent="0.2">
      <c r="A29" s="160">
        <f>IF(EOMONTH(A28,12)&gt;Basis!$B$22,Basis!$B$22,EOMONTH(A28,12))</f>
        <v>47118</v>
      </c>
      <c r="B29" s="161">
        <f t="shared" si="1"/>
        <v>0</v>
      </c>
      <c r="C29" s="154">
        <f>IF(EOMONTH(C28,12)&gt;Basis!$C$22,Basis!$C$22,EOMONTH(C28,12))</f>
        <v>47999</v>
      </c>
      <c r="D29" s="19" t="e">
        <f t="shared" si="2"/>
        <v>#N/A</v>
      </c>
      <c r="E29" s="19" t="e">
        <f t="shared" si="3"/>
        <v>#N/A</v>
      </c>
      <c r="F29" s="17">
        <f>IF(EOMONTH(F28,12)&gt;Basis!$D$22,Basis!$D$22,EOMONTH(F28,12))</f>
        <v>47999</v>
      </c>
      <c r="G29" s="165" t="e">
        <f t="shared" si="4"/>
        <v>#N/A</v>
      </c>
      <c r="H29" s="171" t="e">
        <f t="shared" si="0"/>
        <v>#N/A</v>
      </c>
      <c r="I29" s="168" t="e">
        <f t="shared" si="5"/>
        <v>#N/A</v>
      </c>
      <c r="J29" s="23" t="e">
        <f t="shared" si="6"/>
        <v>#N/A</v>
      </c>
    </row>
    <row r="30" spans="1:10" x14ac:dyDescent="0.2">
      <c r="A30" s="160">
        <f>IF(EOMONTH(A29,12)&gt;Basis!$B$22,Basis!$B$22,EOMONTH(A29,12))</f>
        <v>47118</v>
      </c>
      <c r="B30" s="161">
        <f t="shared" si="1"/>
        <v>0</v>
      </c>
      <c r="C30" s="154">
        <f>IF(EOMONTH(C29,12)&gt;Basis!$C$22,Basis!$C$22,EOMONTH(C29,12))</f>
        <v>48365</v>
      </c>
      <c r="D30" s="19" t="e">
        <f t="shared" si="2"/>
        <v>#N/A</v>
      </c>
      <c r="E30" s="19" t="e">
        <f t="shared" si="3"/>
        <v>#N/A</v>
      </c>
      <c r="F30" s="17">
        <f>IF(EOMONTH(F29,12)&gt;Basis!$D$22,Basis!$D$22,EOMONTH(F29,12))</f>
        <v>48365</v>
      </c>
      <c r="G30" s="165" t="e">
        <f t="shared" si="4"/>
        <v>#N/A</v>
      </c>
      <c r="H30" s="171" t="e">
        <f t="shared" si="0"/>
        <v>#N/A</v>
      </c>
      <c r="I30" s="168" t="e">
        <f t="shared" si="5"/>
        <v>#N/A</v>
      </c>
      <c r="J30" s="23" t="e">
        <f t="shared" si="6"/>
        <v>#N/A</v>
      </c>
    </row>
    <row r="31" spans="1:10" x14ac:dyDescent="0.2">
      <c r="A31" s="160">
        <f>IF(EOMONTH(A30,12)&gt;Basis!$B$22,Basis!$B$22,EOMONTH(A30,12))</f>
        <v>47118</v>
      </c>
      <c r="B31" s="161">
        <f t="shared" si="1"/>
        <v>0</v>
      </c>
      <c r="C31" s="154">
        <f>IF(EOMONTH(C30,12)&gt;Basis!$C$22,Basis!$C$22,EOMONTH(C30,12))</f>
        <v>48730</v>
      </c>
      <c r="D31" s="19" t="e">
        <f t="shared" si="2"/>
        <v>#N/A</v>
      </c>
      <c r="E31" s="19" t="e">
        <f t="shared" si="3"/>
        <v>#N/A</v>
      </c>
      <c r="F31" s="17">
        <f>IF(EOMONTH(F30,12)&gt;Basis!$D$22,Basis!$D$22,EOMONTH(F30,12))</f>
        <v>48730</v>
      </c>
      <c r="G31" s="165" t="e">
        <f t="shared" si="4"/>
        <v>#N/A</v>
      </c>
      <c r="H31" s="171" t="e">
        <f t="shared" si="0"/>
        <v>#N/A</v>
      </c>
      <c r="I31" s="168" t="e">
        <f t="shared" si="5"/>
        <v>#N/A</v>
      </c>
      <c r="J31" s="23" t="e">
        <f t="shared" si="6"/>
        <v>#N/A</v>
      </c>
    </row>
    <row r="32" spans="1:10" x14ac:dyDescent="0.2">
      <c r="A32" s="160">
        <f>IF(EOMONTH(A31,12)&gt;Basis!$B$22,Basis!$B$22,EOMONTH(A31,12))</f>
        <v>47118</v>
      </c>
      <c r="B32" s="161">
        <f t="shared" si="1"/>
        <v>0</v>
      </c>
      <c r="C32" s="154">
        <f>IF(EOMONTH(C31,12)&gt;Basis!$C$22,Basis!$C$22,EOMONTH(C31,12))</f>
        <v>49095</v>
      </c>
      <c r="D32" s="19" t="e">
        <f t="shared" si="2"/>
        <v>#N/A</v>
      </c>
      <c r="E32" s="19" t="e">
        <f t="shared" si="3"/>
        <v>#N/A</v>
      </c>
      <c r="F32" s="17">
        <f>IF(EOMONTH(F31,12)&gt;Basis!$D$22,Basis!$D$22,EOMONTH(F31,12))</f>
        <v>49095</v>
      </c>
      <c r="G32" s="165" t="e">
        <f t="shared" si="4"/>
        <v>#N/A</v>
      </c>
      <c r="H32" s="171" t="e">
        <f t="shared" si="0"/>
        <v>#N/A</v>
      </c>
      <c r="I32" s="168" t="e">
        <f t="shared" si="5"/>
        <v>#N/A</v>
      </c>
      <c r="J32" s="23" t="e">
        <f t="shared" si="6"/>
        <v>#N/A</v>
      </c>
    </row>
    <row r="33" spans="1:11" x14ac:dyDescent="0.2">
      <c r="A33" s="160">
        <f>IF(EOMONTH(A32,12)&gt;Basis!$B$22,Basis!$B$22,EOMONTH(A32,12))</f>
        <v>47118</v>
      </c>
      <c r="B33" s="161">
        <f t="shared" si="1"/>
        <v>0</v>
      </c>
      <c r="C33" s="154">
        <f>IF(EOMONTH(C32,12)&gt;Basis!$C$22,Basis!$C$22,EOMONTH(C32,12))</f>
        <v>49460</v>
      </c>
      <c r="D33" s="19" t="e">
        <f t="shared" si="2"/>
        <v>#N/A</v>
      </c>
      <c r="E33" s="19" t="e">
        <f t="shared" si="3"/>
        <v>#N/A</v>
      </c>
      <c r="F33" s="17">
        <f>IF(EOMONTH(F32,12)&gt;Basis!$D$22,Basis!$D$22,EOMONTH(F32,12))</f>
        <v>49309</v>
      </c>
      <c r="G33" s="165">
        <f t="shared" si="4"/>
        <v>0</v>
      </c>
      <c r="H33" s="171" t="e">
        <f t="shared" si="0"/>
        <v>#N/A</v>
      </c>
      <c r="I33" s="168" t="e">
        <f t="shared" si="5"/>
        <v>#N/A</v>
      </c>
      <c r="J33" s="23" t="e">
        <f t="shared" si="6"/>
        <v>#N/A</v>
      </c>
    </row>
    <row r="34" spans="1:11" x14ac:dyDescent="0.2">
      <c r="A34" s="160">
        <f>IF(EOMONTH(A33,12)&gt;Basis!$B$22,Basis!$B$22,EOMONTH(A33,12))</f>
        <v>47118</v>
      </c>
      <c r="B34" s="161">
        <f t="shared" si="1"/>
        <v>0</v>
      </c>
      <c r="C34" s="154">
        <f>IF(EOMONTH(C33,12)&gt;Basis!$C$22,Basis!$C$22,EOMONTH(C33,12))</f>
        <v>49490</v>
      </c>
      <c r="D34" s="19">
        <f t="shared" si="2"/>
        <v>0</v>
      </c>
      <c r="E34" s="19">
        <f t="shared" si="3"/>
        <v>0</v>
      </c>
      <c r="F34" s="17">
        <f>IF(EOMONTH(F33,12)&gt;Basis!$D$22,Basis!$D$22,EOMONTH(F33,12))</f>
        <v>49309</v>
      </c>
      <c r="G34" s="165">
        <f t="shared" si="4"/>
        <v>0</v>
      </c>
      <c r="H34" s="171">
        <f t="shared" si="0"/>
        <v>0</v>
      </c>
      <c r="I34" s="168" t="e">
        <f t="shared" si="5"/>
        <v>#N/A</v>
      </c>
      <c r="J34" s="23" t="e">
        <f t="shared" si="6"/>
        <v>#N/A</v>
      </c>
    </row>
    <row r="35" spans="1:11" x14ac:dyDescent="0.2">
      <c r="A35" s="160">
        <f>IF(EOMONTH(A34,12)&gt;Basis!$B$22,Basis!$B$22,EOMONTH(A34,12))</f>
        <v>47118</v>
      </c>
      <c r="B35" s="161">
        <f t="shared" si="1"/>
        <v>0</v>
      </c>
      <c r="C35" s="154">
        <f>IF(EOMONTH(C34,12)&gt;Basis!$C$22,Basis!$C$22,EOMONTH(C34,12))</f>
        <v>49490</v>
      </c>
      <c r="D35" s="19">
        <f t="shared" si="2"/>
        <v>0</v>
      </c>
      <c r="E35" s="19">
        <f t="shared" si="3"/>
        <v>0</v>
      </c>
      <c r="F35" s="17">
        <f>IF(EOMONTH(F34,12)&gt;Basis!$D$22,Basis!$D$22,EOMONTH(F34,12))</f>
        <v>49309</v>
      </c>
      <c r="G35" s="165">
        <f t="shared" si="4"/>
        <v>0</v>
      </c>
      <c r="H35" s="171">
        <f t="shared" si="0"/>
        <v>0</v>
      </c>
      <c r="I35" s="168" t="e">
        <f t="shared" si="5"/>
        <v>#N/A</v>
      </c>
      <c r="J35" s="23" t="e">
        <f t="shared" si="6"/>
        <v>#N/A</v>
      </c>
    </row>
    <row r="36" spans="1:11" x14ac:dyDescent="0.2">
      <c r="A36" s="160">
        <f>IF(EOMONTH(A35,12)&gt;Basis!$B$22,Basis!$B$22,EOMONTH(A35,12))</f>
        <v>47118</v>
      </c>
      <c r="B36" s="161">
        <f t="shared" si="1"/>
        <v>0</v>
      </c>
      <c r="C36" s="154">
        <f>IF(EOMONTH(C35,12)&gt;Basis!$C$22,Basis!$C$22,EOMONTH(C35,12))</f>
        <v>49490</v>
      </c>
      <c r="D36" s="19">
        <f t="shared" si="2"/>
        <v>0</v>
      </c>
      <c r="E36" s="19">
        <f t="shared" si="3"/>
        <v>0</v>
      </c>
      <c r="F36" s="17">
        <f>IF(EOMONTH(F35,12)&gt;Basis!$D$22,Basis!$D$22,EOMONTH(F35,12))</f>
        <v>49309</v>
      </c>
      <c r="G36" s="165">
        <f t="shared" si="4"/>
        <v>0</v>
      </c>
      <c r="H36" s="171">
        <f t="shared" si="0"/>
        <v>0</v>
      </c>
      <c r="I36" s="168" t="e">
        <f t="shared" si="5"/>
        <v>#N/A</v>
      </c>
      <c r="J36" s="23" t="e">
        <f t="shared" si="6"/>
        <v>#N/A</v>
      </c>
    </row>
    <row r="37" spans="1:11" x14ac:dyDescent="0.2">
      <c r="A37" s="160">
        <f>IF(EOMONTH(A36,12)&gt;Basis!$B$22,Basis!$B$22,EOMONTH(A36,12))</f>
        <v>47118</v>
      </c>
      <c r="B37" s="161">
        <f t="shared" si="1"/>
        <v>0</v>
      </c>
      <c r="C37" s="154">
        <f>IF(EOMONTH(C36,12)&gt;Basis!$C$22,Basis!$C$22,EOMONTH(C36,12))</f>
        <v>49490</v>
      </c>
      <c r="D37" s="19">
        <f t="shared" si="2"/>
        <v>0</v>
      </c>
      <c r="E37" s="19">
        <f t="shared" si="3"/>
        <v>0</v>
      </c>
      <c r="F37" s="17">
        <f>IF(EOMONTH(F36,12)&gt;Basis!$D$22,Basis!$D$22,EOMONTH(F36,12))</f>
        <v>49309</v>
      </c>
      <c r="G37" s="165">
        <f t="shared" si="4"/>
        <v>0</v>
      </c>
      <c r="H37" s="171">
        <f t="shared" si="0"/>
        <v>0</v>
      </c>
      <c r="I37" s="168" t="e">
        <f t="shared" si="5"/>
        <v>#N/A</v>
      </c>
      <c r="J37" s="23" t="e">
        <f t="shared" si="6"/>
        <v>#N/A</v>
      </c>
    </row>
    <row r="38" spans="1:11" x14ac:dyDescent="0.2">
      <c r="A38" s="160">
        <f>IF(EOMONTH(A37,12)&gt;Basis!$B$22,Basis!$B$22,EOMONTH(A37,12))</f>
        <v>47118</v>
      </c>
      <c r="B38" s="161">
        <f t="shared" si="1"/>
        <v>0</v>
      </c>
      <c r="C38" s="154">
        <f>IF(EOMONTH(C37,12)&gt;Basis!$C$22,Basis!$C$22,EOMONTH(C37,12))</f>
        <v>49490</v>
      </c>
      <c r="D38" s="19">
        <f t="shared" si="2"/>
        <v>0</v>
      </c>
      <c r="E38" s="19">
        <f t="shared" si="3"/>
        <v>0</v>
      </c>
      <c r="F38" s="17">
        <f>IF(EOMONTH(F37,12)&gt;Basis!$D$22,Basis!$D$22,EOMONTH(F37,12))</f>
        <v>49309</v>
      </c>
      <c r="G38" s="165">
        <f t="shared" si="4"/>
        <v>0</v>
      </c>
      <c r="H38" s="171">
        <f t="shared" si="0"/>
        <v>0</v>
      </c>
      <c r="I38" s="168" t="e">
        <f t="shared" si="5"/>
        <v>#N/A</v>
      </c>
      <c r="J38" s="23" t="e">
        <f t="shared" si="6"/>
        <v>#N/A</v>
      </c>
    </row>
    <row r="39" spans="1:11" x14ac:dyDescent="0.2">
      <c r="A39" s="162">
        <f>IF(EOMONTH(A38,12)&gt;Basis!$B$22,Basis!$B$22,EOMONTH(A38,12))</f>
        <v>47118</v>
      </c>
      <c r="B39" s="163" t="e">
        <f t="shared" si="1"/>
        <v>#N/A</v>
      </c>
      <c r="C39" s="155">
        <f>IF(EOMONTH(C38,12)&gt;Basis!$C$22,Basis!$C$22,EOMONTH(C38,12))</f>
        <v>49490</v>
      </c>
      <c r="D39" s="20" t="e">
        <f t="shared" si="2"/>
        <v>#N/A</v>
      </c>
      <c r="E39" s="20" t="e">
        <f t="shared" si="3"/>
        <v>#N/A</v>
      </c>
      <c r="F39" s="18">
        <f>IF(EOMONTH(F38,12)&gt;Basis!$D$22,Basis!$D$22,EOMONTH(F38,12))</f>
        <v>49309</v>
      </c>
      <c r="G39" s="166" t="e">
        <f t="shared" si="4"/>
        <v>#N/A</v>
      </c>
      <c r="H39" s="172" t="e">
        <f t="shared" si="0"/>
        <v>#N/A</v>
      </c>
      <c r="I39" s="168"/>
      <c r="J39" s="24" t="e">
        <f t="shared" si="6"/>
        <v>#N/A</v>
      </c>
    </row>
    <row r="40" spans="1:11" x14ac:dyDescent="0.2">
      <c r="A40" s="15"/>
      <c r="B40" s="15"/>
      <c r="C40" s="15"/>
      <c r="D40" s="16"/>
      <c r="E40" s="16"/>
      <c r="F40" s="15"/>
      <c r="G40" s="15"/>
      <c r="H40" s="44"/>
      <c r="I40" s="21" t="s">
        <v>5</v>
      </c>
      <c r="J40" s="46" t="e">
        <f>SUM(J15:J39)</f>
        <v>#N/A</v>
      </c>
      <c r="K40" s="45"/>
    </row>
    <row r="41" spans="1:11" x14ac:dyDescent="0.2">
      <c r="C41" s="11"/>
      <c r="I41" s="15"/>
      <c r="J41" s="15"/>
    </row>
    <row r="42" spans="1:11" x14ac:dyDescent="0.2">
      <c r="C42" s="11"/>
    </row>
    <row r="43" spans="1:11" x14ac:dyDescent="0.2">
      <c r="A43" s="11" t="s">
        <v>50</v>
      </c>
    </row>
    <row r="44" spans="1:11" x14ac:dyDescent="0.2">
      <c r="A44" s="11" t="s">
        <v>52</v>
      </c>
    </row>
    <row r="45" spans="1:11" x14ac:dyDescent="0.2">
      <c r="A45" s="11" t="s">
        <v>51</v>
      </c>
    </row>
    <row r="46" spans="1:11" x14ac:dyDescent="0.2">
      <c r="C46" s="11"/>
    </row>
    <row r="47" spans="1:11" x14ac:dyDescent="0.2">
      <c r="C47" s="11"/>
    </row>
    <row r="48" spans="1:11" x14ac:dyDescent="0.2">
      <c r="C48" s="11"/>
    </row>
    <row r="49" spans="3:3" x14ac:dyDescent="0.2">
      <c r="C49" s="11"/>
    </row>
    <row r="50" spans="3:3" x14ac:dyDescent="0.2">
      <c r="C50" s="11"/>
    </row>
    <row r="51" spans="3:3" x14ac:dyDescent="0.2">
      <c r="C51" s="11"/>
    </row>
    <row r="52" spans="3:3" x14ac:dyDescent="0.2">
      <c r="C52" s="11"/>
    </row>
    <row r="53" spans="3:3" x14ac:dyDescent="0.2">
      <c r="C53" s="11"/>
    </row>
    <row r="54" spans="3:3" x14ac:dyDescent="0.2">
      <c r="C54" s="11"/>
    </row>
    <row r="55" spans="3:3" x14ac:dyDescent="0.2">
      <c r="C55" s="11"/>
    </row>
    <row r="56" spans="3:3" x14ac:dyDescent="0.2">
      <c r="C56" s="11"/>
    </row>
  </sheetData>
  <mergeCells count="3">
    <mergeCell ref="A13:B13"/>
    <mergeCell ref="C13:E13"/>
    <mergeCell ref="F13:G13"/>
  </mergeCells>
  <pageMargins left="0.7" right="0.7" top="0.75" bottom="0.75" header="0.3" footer="0.3"/>
  <pageSetup paperSize="9" scale="86" orientation="landscape" r:id="rId1"/>
  <headerFooter>
    <oddFooter>&amp;L&amp;"Arial,Regular"&amp;8ear &amp;D &amp;T
Lane Clark &amp;&amp; Peacock Page &amp;P of &amp;N&amp;R&amp;"Arial,Regular"&amp;8&amp;Z&amp;F[&amp;A]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K56"/>
  <sheetViews>
    <sheetView zoomScaleNormal="100" workbookViewId="0">
      <selection activeCell="A38" sqref="A38:D38"/>
    </sheetView>
  </sheetViews>
  <sheetFormatPr defaultColWidth="9.140625" defaultRowHeight="12.75" x14ac:dyDescent="0.2"/>
  <cols>
    <col min="1" max="1" width="22.85546875" style="9" customWidth="1"/>
    <col min="2" max="2" width="12.140625" style="9" customWidth="1"/>
    <col min="3" max="3" width="13.140625" style="9" customWidth="1"/>
    <col min="4" max="4" width="15.85546875" style="9" customWidth="1"/>
    <col min="5" max="5" width="13.140625" style="9" customWidth="1"/>
    <col min="6" max="6" width="20.7109375" style="9" bestFit="1" customWidth="1"/>
    <col min="7" max="7" width="10.42578125" style="9" customWidth="1"/>
    <col min="8" max="8" width="15.140625" style="9" bestFit="1" customWidth="1"/>
    <col min="9" max="9" width="17.5703125" style="9" bestFit="1" customWidth="1"/>
    <col min="10" max="10" width="26" style="9" bestFit="1" customWidth="1"/>
    <col min="11" max="11" width="17.85546875" style="9" customWidth="1"/>
    <col min="12" max="16" width="9.140625" style="9"/>
    <col min="17" max="17" width="12.7109375" style="9" customWidth="1"/>
    <col min="18" max="19" width="9.140625" style="9"/>
    <col min="20" max="26" width="15.7109375" style="9" customWidth="1"/>
    <col min="27" max="16384" width="9.140625" style="9"/>
  </cols>
  <sheetData>
    <row r="2" spans="1:11" x14ac:dyDescent="0.2">
      <c r="A2" s="12" t="s">
        <v>4</v>
      </c>
      <c r="B2" s="13">
        <f>Accounting_date_prev2</f>
        <v>42521</v>
      </c>
      <c r="I2" s="10"/>
    </row>
    <row r="3" spans="1:11" x14ac:dyDescent="0.2">
      <c r="I3" s="25"/>
      <c r="J3" s="25"/>
    </row>
    <row r="4" spans="1:11" x14ac:dyDescent="0.2">
      <c r="A4" s="14" t="s">
        <v>146</v>
      </c>
      <c r="B4" s="152">
        <v>42096</v>
      </c>
      <c r="D4" s="10"/>
      <c r="H4" s="14"/>
      <c r="I4" s="25"/>
      <c r="J4" s="25"/>
    </row>
    <row r="5" spans="1:11" x14ac:dyDescent="0.2">
      <c r="A5" s="14" t="s">
        <v>147</v>
      </c>
      <c r="B5" s="152">
        <v>43203</v>
      </c>
      <c r="D5" s="10"/>
      <c r="H5" s="14"/>
      <c r="I5" s="25"/>
      <c r="J5" s="25"/>
    </row>
    <row r="6" spans="1:11" x14ac:dyDescent="0.2">
      <c r="A6" s="14"/>
      <c r="B6" s="14"/>
      <c r="E6" s="10">
        <v>42095</v>
      </c>
      <c r="H6" s="14"/>
      <c r="I6" s="25"/>
      <c r="J6" s="25"/>
    </row>
    <row r="7" spans="1:11" x14ac:dyDescent="0.2">
      <c r="A7" s="12" t="s">
        <v>7</v>
      </c>
      <c r="B7" s="34" t="str">
        <f>IF(B2&gt;=B5,"2018 RP",IF(B2&gt;=B4,"2015 RP","2012 RP"))</f>
        <v>2015 RP</v>
      </c>
      <c r="E7" s="10">
        <v>42369</v>
      </c>
      <c r="H7" s="14"/>
      <c r="I7" s="33"/>
      <c r="J7" s="25"/>
      <c r="K7" s="10"/>
    </row>
    <row r="8" spans="1:11" x14ac:dyDescent="0.2">
      <c r="A8" s="12" t="s">
        <v>148</v>
      </c>
      <c r="B8" s="152">
        <f>IF(B7="2018 RP",Basis!B22,IF(B7="2015 RP",Basis!C22,Basis!D22))</f>
        <v>49490</v>
      </c>
      <c r="E8" s="10"/>
      <c r="H8" s="14"/>
      <c r="I8" s="33"/>
      <c r="J8" s="25"/>
      <c r="K8" s="10"/>
    </row>
    <row r="9" spans="1:11" ht="38.25" x14ac:dyDescent="0.2">
      <c r="A9" s="9" t="s">
        <v>13</v>
      </c>
      <c r="B9" s="47">
        <f>first_month_prevyr2</f>
        <v>0</v>
      </c>
      <c r="D9" s="29" t="s">
        <v>16</v>
      </c>
      <c r="E9" s="30" t="str">
        <f>IF(AND($B$2&gt;$E$6,$B$2&lt;$E$7),"yes","no")</f>
        <v>no</v>
      </c>
    </row>
    <row r="10" spans="1:11" x14ac:dyDescent="0.2">
      <c r="A10" s="9" t="s">
        <v>12</v>
      </c>
      <c r="B10" s="31" t="e">
        <f>DR_prev2</f>
        <v>#N/A</v>
      </c>
      <c r="D10" s="9" t="s">
        <v>26</v>
      </c>
      <c r="E10" s="35">
        <f>percentage_cont</f>
        <v>0.12</v>
      </c>
      <c r="I10" s="83"/>
    </row>
    <row r="11" spans="1:11" x14ac:dyDescent="0.2">
      <c r="A11" s="9" t="s">
        <v>15</v>
      </c>
      <c r="B11" s="31" t="e">
        <f>Inflation_prev2</f>
        <v>#N/A</v>
      </c>
      <c r="D11" s="9" t="s">
        <v>30</v>
      </c>
      <c r="E11" s="35">
        <f>$E$10/0.11</f>
        <v>1.0909090909090908</v>
      </c>
    </row>
    <row r="12" spans="1:11" s="25" customFormat="1" x14ac:dyDescent="0.2">
      <c r="A12" s="36"/>
      <c r="B12" s="36"/>
      <c r="C12" s="36"/>
      <c r="D12" s="37"/>
      <c r="E12" s="36"/>
      <c r="F12" s="36"/>
      <c r="G12" s="38"/>
      <c r="H12" s="36"/>
      <c r="I12" s="36"/>
      <c r="J12" s="36"/>
    </row>
    <row r="13" spans="1:11" x14ac:dyDescent="0.2">
      <c r="A13" s="244" t="s">
        <v>145</v>
      </c>
      <c r="B13" s="245"/>
      <c r="C13" s="244" t="s">
        <v>8</v>
      </c>
      <c r="D13" s="245"/>
      <c r="E13" s="246"/>
      <c r="F13" s="242" t="s">
        <v>9</v>
      </c>
      <c r="G13" s="243"/>
      <c r="H13" s="32"/>
      <c r="I13" s="32"/>
      <c r="J13" s="32"/>
    </row>
    <row r="14" spans="1:11" ht="38.25" x14ac:dyDescent="0.2">
      <c r="A14" s="156" t="s">
        <v>4</v>
      </c>
      <c r="B14" s="157" t="s">
        <v>28</v>
      </c>
      <c r="C14" s="40" t="s">
        <v>4</v>
      </c>
      <c r="D14" s="41" t="s">
        <v>28</v>
      </c>
      <c r="E14" s="42" t="s">
        <v>29</v>
      </c>
      <c r="F14" s="43" t="s">
        <v>27</v>
      </c>
      <c r="G14" s="41" t="s">
        <v>28</v>
      </c>
      <c r="H14" s="169" t="s">
        <v>6</v>
      </c>
      <c r="I14" s="21" t="s">
        <v>10</v>
      </c>
      <c r="J14" s="21" t="s">
        <v>11</v>
      </c>
    </row>
    <row r="15" spans="1:11" x14ac:dyDescent="0.2">
      <c r="A15" s="158">
        <f>$B$2</f>
        <v>42521</v>
      </c>
      <c r="B15" s="159" t="e">
        <f>IF(MONTH(B2)=12,$B$9*12,(($B$9*12)*(1-MONTH($B$2)/12))+(($B$9*12)*(1+$B$11)*(MONTH($B$2)/12)))</f>
        <v>#N/A</v>
      </c>
      <c r="C15" s="153">
        <f>$B$2</f>
        <v>42521</v>
      </c>
      <c r="D15" s="27" t="e">
        <f>IF(MONTH(B2)=12,$B$9*12,(($B$9*12)*(1-MONTH($B$2)/12))+(($B$9*12)*(1+$B$11)*(MONTH($B$2)/12)))</f>
        <v>#N/A</v>
      </c>
      <c r="E15" s="28" t="e">
        <f>$D$15*($E$7-$C$15)/365+$D$15*(1-(($E$7-$C$15)/365))*$E$11</f>
        <v>#N/A</v>
      </c>
      <c r="F15" s="26">
        <f>$B$2</f>
        <v>42521</v>
      </c>
      <c r="G15" s="164" t="e">
        <f>IF(MONTH(B2)=12,$B$9*12,(($B$9*12)*(1-MONTH($B$2)/12))+(($B$9*12)*(1+$B$11)*(MONTH($B$2)/12)))</f>
        <v>#N/A</v>
      </c>
      <c r="H15" s="170" t="e">
        <f t="shared" ref="H15:H39" si="0">IF($B$7="2018 RP",B15,IF($B$7="2015 RP",IF($E$9="yes",E15,D15),G15))</f>
        <v>#N/A</v>
      </c>
      <c r="I15" s="167" t="e">
        <f>(1+$B$10)^-0.5</f>
        <v>#N/A</v>
      </c>
      <c r="J15" s="22" t="e">
        <f>H15*I15</f>
        <v>#N/A</v>
      </c>
    </row>
    <row r="16" spans="1:11" x14ac:dyDescent="0.2">
      <c r="A16" s="160">
        <f>IF(EOMONTH(A15,12)&gt;Basis!$B$22,Basis!$B$22,EOMONTH(A15,12))</f>
        <v>42886</v>
      </c>
      <c r="B16" s="161" t="e">
        <f t="shared" ref="B16:B39" si="1">IF(A17=A16,0,B15*(1+$B$11))*(A17-A16)/365</f>
        <v>#N/A</v>
      </c>
      <c r="C16" s="154">
        <f>IF(EOMONTH(C15,12)&gt;Basis!$C$22,Basis!$C$22,EOMONTH(C15,12))</f>
        <v>42886</v>
      </c>
      <c r="D16" s="19" t="e">
        <f t="shared" ref="D16:D39" si="2">IF(C17=C16,0,D15*(1+$B$11))*(C17-C16)/365</f>
        <v>#N/A</v>
      </c>
      <c r="E16" s="19" t="e">
        <f t="shared" ref="E16:E39" si="3">D16*$E$11</f>
        <v>#N/A</v>
      </c>
      <c r="F16" s="17">
        <f>IF(EOMONTH(F15,12)&gt;Basis!$D$22,Basis!$D$22,EOMONTH(F15,12))</f>
        <v>42886</v>
      </c>
      <c r="G16" s="165" t="e">
        <f t="shared" ref="G16:G39" si="4">IF(F17=F16,0,G15*(1+$B$11))*(F17-F16)/365</f>
        <v>#N/A</v>
      </c>
      <c r="H16" s="171" t="e">
        <f t="shared" si="0"/>
        <v>#N/A</v>
      </c>
      <c r="I16" s="168" t="e">
        <f t="shared" ref="I16:I38" si="5">I15*(1+$B$10)^-(0.5+(C17-C16)/2/365)</f>
        <v>#N/A</v>
      </c>
      <c r="J16" s="23" t="e">
        <f t="shared" ref="J16:J39" si="6">H16*I16</f>
        <v>#N/A</v>
      </c>
    </row>
    <row r="17" spans="1:10" x14ac:dyDescent="0.2">
      <c r="A17" s="160">
        <f>IF(EOMONTH(A16,12)&gt;Basis!$B$22,Basis!$B$22,EOMONTH(A16,12))</f>
        <v>43251</v>
      </c>
      <c r="B17" s="161" t="e">
        <f t="shared" si="1"/>
        <v>#N/A</v>
      </c>
      <c r="C17" s="154">
        <f>IF(EOMONTH(C16,12)&gt;Basis!$C$22,Basis!$C$22,EOMONTH(C16,12))</f>
        <v>43251</v>
      </c>
      <c r="D17" s="19" t="e">
        <f t="shared" si="2"/>
        <v>#N/A</v>
      </c>
      <c r="E17" s="19" t="e">
        <f t="shared" si="3"/>
        <v>#N/A</v>
      </c>
      <c r="F17" s="17">
        <f>IF(EOMONTH(F16,12)&gt;Basis!$D$22,Basis!$D$22,EOMONTH(F16,12))</f>
        <v>43251</v>
      </c>
      <c r="G17" s="165" t="e">
        <f t="shared" si="4"/>
        <v>#N/A</v>
      </c>
      <c r="H17" s="171" t="e">
        <f t="shared" si="0"/>
        <v>#N/A</v>
      </c>
      <c r="I17" s="168" t="e">
        <f t="shared" si="5"/>
        <v>#N/A</v>
      </c>
      <c r="J17" s="23" t="e">
        <f t="shared" si="6"/>
        <v>#N/A</v>
      </c>
    </row>
    <row r="18" spans="1:10" x14ac:dyDescent="0.2">
      <c r="A18" s="160">
        <f>IF(EOMONTH(A17,12)&gt;Basis!$B$22,Basis!$B$22,EOMONTH(A17,12))</f>
        <v>43616</v>
      </c>
      <c r="B18" s="161" t="e">
        <f t="shared" si="1"/>
        <v>#N/A</v>
      </c>
      <c r="C18" s="154">
        <f>IF(EOMONTH(C17,12)&gt;Basis!$C$22,Basis!$C$22,EOMONTH(C17,12))</f>
        <v>43616</v>
      </c>
      <c r="D18" s="19" t="e">
        <f t="shared" si="2"/>
        <v>#N/A</v>
      </c>
      <c r="E18" s="19" t="e">
        <f t="shared" si="3"/>
        <v>#N/A</v>
      </c>
      <c r="F18" s="17">
        <f>IF(EOMONTH(F17,12)&gt;Basis!$D$22,Basis!$D$22,EOMONTH(F17,12))</f>
        <v>43616</v>
      </c>
      <c r="G18" s="165" t="e">
        <f t="shared" si="4"/>
        <v>#N/A</v>
      </c>
      <c r="H18" s="171" t="e">
        <f t="shared" si="0"/>
        <v>#N/A</v>
      </c>
      <c r="I18" s="168" t="e">
        <f t="shared" si="5"/>
        <v>#N/A</v>
      </c>
      <c r="J18" s="23" t="e">
        <f t="shared" si="6"/>
        <v>#N/A</v>
      </c>
    </row>
    <row r="19" spans="1:10" x14ac:dyDescent="0.2">
      <c r="A19" s="160">
        <f>IF(EOMONTH(A18,12)&gt;Basis!$B$22,Basis!$B$22,EOMONTH(A18,12))</f>
        <v>43982</v>
      </c>
      <c r="B19" s="161" t="e">
        <f t="shared" si="1"/>
        <v>#N/A</v>
      </c>
      <c r="C19" s="154">
        <f>IF(EOMONTH(C18,12)&gt;Basis!$C$22,Basis!$C$22,EOMONTH(C18,12))</f>
        <v>43982</v>
      </c>
      <c r="D19" s="19" t="e">
        <f t="shared" si="2"/>
        <v>#N/A</v>
      </c>
      <c r="E19" s="19" t="e">
        <f t="shared" si="3"/>
        <v>#N/A</v>
      </c>
      <c r="F19" s="17">
        <f>IF(EOMONTH(F18,12)&gt;Basis!$D$22,Basis!$D$22,EOMONTH(F18,12))</f>
        <v>43982</v>
      </c>
      <c r="G19" s="165" t="e">
        <f t="shared" si="4"/>
        <v>#N/A</v>
      </c>
      <c r="H19" s="171" t="e">
        <f t="shared" si="0"/>
        <v>#N/A</v>
      </c>
      <c r="I19" s="168" t="e">
        <f t="shared" si="5"/>
        <v>#N/A</v>
      </c>
      <c r="J19" s="23" t="e">
        <f t="shared" si="6"/>
        <v>#N/A</v>
      </c>
    </row>
    <row r="20" spans="1:10" x14ac:dyDescent="0.2">
      <c r="A20" s="160">
        <f>IF(EOMONTH(A19,12)&gt;Basis!$B$22,Basis!$B$22,EOMONTH(A19,12))</f>
        <v>44347</v>
      </c>
      <c r="B20" s="161" t="e">
        <f t="shared" si="1"/>
        <v>#N/A</v>
      </c>
      <c r="C20" s="154">
        <f>IF(EOMONTH(C19,12)&gt;Basis!$C$22,Basis!$C$22,EOMONTH(C19,12))</f>
        <v>44347</v>
      </c>
      <c r="D20" s="19" t="e">
        <f t="shared" si="2"/>
        <v>#N/A</v>
      </c>
      <c r="E20" s="19" t="e">
        <f t="shared" si="3"/>
        <v>#N/A</v>
      </c>
      <c r="F20" s="17">
        <f>IF(EOMONTH(F19,12)&gt;Basis!$D$22,Basis!$D$22,EOMONTH(F19,12))</f>
        <v>44347</v>
      </c>
      <c r="G20" s="165" t="e">
        <f t="shared" si="4"/>
        <v>#N/A</v>
      </c>
      <c r="H20" s="171" t="e">
        <f t="shared" si="0"/>
        <v>#N/A</v>
      </c>
      <c r="I20" s="168" t="e">
        <f t="shared" si="5"/>
        <v>#N/A</v>
      </c>
      <c r="J20" s="23" t="e">
        <f t="shared" si="6"/>
        <v>#N/A</v>
      </c>
    </row>
    <row r="21" spans="1:10" x14ac:dyDescent="0.2">
      <c r="A21" s="160">
        <f>IF(EOMONTH(A20,12)&gt;Basis!$B$22,Basis!$B$22,EOMONTH(A20,12))</f>
        <v>44712</v>
      </c>
      <c r="B21" s="161" t="e">
        <f t="shared" si="1"/>
        <v>#N/A</v>
      </c>
      <c r="C21" s="154">
        <f>IF(EOMONTH(C20,12)&gt;Basis!$C$22,Basis!$C$22,EOMONTH(C20,12))</f>
        <v>44712</v>
      </c>
      <c r="D21" s="19" t="e">
        <f t="shared" si="2"/>
        <v>#N/A</v>
      </c>
      <c r="E21" s="19" t="e">
        <f t="shared" si="3"/>
        <v>#N/A</v>
      </c>
      <c r="F21" s="17">
        <f>IF(EOMONTH(F20,12)&gt;Basis!$D$22,Basis!$D$22,EOMONTH(F20,12))</f>
        <v>44712</v>
      </c>
      <c r="G21" s="165" t="e">
        <f t="shared" si="4"/>
        <v>#N/A</v>
      </c>
      <c r="H21" s="171" t="e">
        <f t="shared" si="0"/>
        <v>#N/A</v>
      </c>
      <c r="I21" s="168" t="e">
        <f t="shared" si="5"/>
        <v>#N/A</v>
      </c>
      <c r="J21" s="23" t="e">
        <f t="shared" si="6"/>
        <v>#N/A</v>
      </c>
    </row>
    <row r="22" spans="1:10" x14ac:dyDescent="0.2">
      <c r="A22" s="160">
        <f>IF(EOMONTH(A21,12)&gt;Basis!$B$22,Basis!$B$22,EOMONTH(A21,12))</f>
        <v>45077</v>
      </c>
      <c r="B22" s="161" t="e">
        <f t="shared" si="1"/>
        <v>#N/A</v>
      </c>
      <c r="C22" s="154">
        <f>IF(EOMONTH(C21,12)&gt;Basis!$C$22,Basis!$C$22,EOMONTH(C21,12))</f>
        <v>45077</v>
      </c>
      <c r="D22" s="19" t="e">
        <f t="shared" si="2"/>
        <v>#N/A</v>
      </c>
      <c r="E22" s="19" t="e">
        <f t="shared" si="3"/>
        <v>#N/A</v>
      </c>
      <c r="F22" s="17">
        <f>IF(EOMONTH(F21,12)&gt;Basis!$D$22,Basis!$D$22,EOMONTH(F21,12))</f>
        <v>45077</v>
      </c>
      <c r="G22" s="165" t="e">
        <f t="shared" si="4"/>
        <v>#N/A</v>
      </c>
      <c r="H22" s="171" t="e">
        <f t="shared" si="0"/>
        <v>#N/A</v>
      </c>
      <c r="I22" s="168" t="e">
        <f t="shared" si="5"/>
        <v>#N/A</v>
      </c>
      <c r="J22" s="23" t="e">
        <f t="shared" si="6"/>
        <v>#N/A</v>
      </c>
    </row>
    <row r="23" spans="1:10" x14ac:dyDescent="0.2">
      <c r="A23" s="160">
        <f>IF(EOMONTH(A22,12)&gt;Basis!$B$22,Basis!$B$22,EOMONTH(A22,12))</f>
        <v>45443</v>
      </c>
      <c r="B23" s="161" t="e">
        <f t="shared" si="1"/>
        <v>#N/A</v>
      </c>
      <c r="C23" s="154">
        <f>IF(EOMONTH(C22,12)&gt;Basis!$C$22,Basis!$C$22,EOMONTH(C22,12))</f>
        <v>45443</v>
      </c>
      <c r="D23" s="19" t="e">
        <f t="shared" si="2"/>
        <v>#N/A</v>
      </c>
      <c r="E23" s="19" t="e">
        <f t="shared" si="3"/>
        <v>#N/A</v>
      </c>
      <c r="F23" s="17">
        <f>IF(EOMONTH(F22,12)&gt;Basis!$D$22,Basis!$D$22,EOMONTH(F22,12))</f>
        <v>45443</v>
      </c>
      <c r="G23" s="165" t="e">
        <f t="shared" si="4"/>
        <v>#N/A</v>
      </c>
      <c r="H23" s="171" t="e">
        <f t="shared" si="0"/>
        <v>#N/A</v>
      </c>
      <c r="I23" s="168" t="e">
        <f t="shared" si="5"/>
        <v>#N/A</v>
      </c>
      <c r="J23" s="23" t="e">
        <f t="shared" si="6"/>
        <v>#N/A</v>
      </c>
    </row>
    <row r="24" spans="1:10" x14ac:dyDescent="0.2">
      <c r="A24" s="160">
        <f>IF(EOMONTH(A23,12)&gt;Basis!$B$22,Basis!$B$22,EOMONTH(A23,12))</f>
        <v>45808</v>
      </c>
      <c r="B24" s="161" t="e">
        <f t="shared" si="1"/>
        <v>#N/A</v>
      </c>
      <c r="C24" s="154">
        <f>IF(EOMONTH(C23,12)&gt;Basis!$C$22,Basis!$C$22,EOMONTH(C23,12))</f>
        <v>45808</v>
      </c>
      <c r="D24" s="19" t="e">
        <f t="shared" si="2"/>
        <v>#N/A</v>
      </c>
      <c r="E24" s="19" t="e">
        <f t="shared" si="3"/>
        <v>#N/A</v>
      </c>
      <c r="F24" s="17">
        <f>IF(EOMONTH(F23,12)&gt;Basis!$D$22,Basis!$D$22,EOMONTH(F23,12))</f>
        <v>45808</v>
      </c>
      <c r="G24" s="165" t="e">
        <f t="shared" si="4"/>
        <v>#N/A</v>
      </c>
      <c r="H24" s="171" t="e">
        <f t="shared" si="0"/>
        <v>#N/A</v>
      </c>
      <c r="I24" s="168" t="e">
        <f t="shared" si="5"/>
        <v>#N/A</v>
      </c>
      <c r="J24" s="23" t="e">
        <f t="shared" si="6"/>
        <v>#N/A</v>
      </c>
    </row>
    <row r="25" spans="1:10" x14ac:dyDescent="0.2">
      <c r="A25" s="160">
        <f>IF(EOMONTH(A24,12)&gt;Basis!$B$22,Basis!$B$22,EOMONTH(A24,12))</f>
        <v>46173</v>
      </c>
      <c r="B25" s="161" t="e">
        <f t="shared" si="1"/>
        <v>#N/A</v>
      </c>
      <c r="C25" s="154">
        <f>IF(EOMONTH(C24,12)&gt;Basis!$C$22,Basis!$C$22,EOMONTH(C24,12))</f>
        <v>46173</v>
      </c>
      <c r="D25" s="19" t="e">
        <f t="shared" si="2"/>
        <v>#N/A</v>
      </c>
      <c r="E25" s="19" t="e">
        <f t="shared" si="3"/>
        <v>#N/A</v>
      </c>
      <c r="F25" s="17">
        <f>IF(EOMONTH(F24,12)&gt;Basis!$D$22,Basis!$D$22,EOMONTH(F24,12))</f>
        <v>46173</v>
      </c>
      <c r="G25" s="165" t="e">
        <f t="shared" si="4"/>
        <v>#N/A</v>
      </c>
      <c r="H25" s="171" t="e">
        <f t="shared" si="0"/>
        <v>#N/A</v>
      </c>
      <c r="I25" s="168" t="e">
        <f t="shared" si="5"/>
        <v>#N/A</v>
      </c>
      <c r="J25" s="23" t="e">
        <f t="shared" si="6"/>
        <v>#N/A</v>
      </c>
    </row>
    <row r="26" spans="1:10" x14ac:dyDescent="0.2">
      <c r="A26" s="160">
        <f>IF(EOMONTH(A25,12)&gt;Basis!$B$22,Basis!$B$22,EOMONTH(A25,12))</f>
        <v>46538</v>
      </c>
      <c r="B26" s="161" t="e">
        <f t="shared" si="1"/>
        <v>#N/A</v>
      </c>
      <c r="C26" s="154">
        <f>IF(EOMONTH(C25,12)&gt;Basis!$C$22,Basis!$C$22,EOMONTH(C25,12))</f>
        <v>46538</v>
      </c>
      <c r="D26" s="19" t="e">
        <f t="shared" si="2"/>
        <v>#N/A</v>
      </c>
      <c r="E26" s="19" t="e">
        <f t="shared" si="3"/>
        <v>#N/A</v>
      </c>
      <c r="F26" s="17">
        <f>IF(EOMONTH(F25,12)&gt;Basis!$D$22,Basis!$D$22,EOMONTH(F25,12))</f>
        <v>46538</v>
      </c>
      <c r="G26" s="165" t="e">
        <f t="shared" si="4"/>
        <v>#N/A</v>
      </c>
      <c r="H26" s="171" t="e">
        <f t="shared" si="0"/>
        <v>#N/A</v>
      </c>
      <c r="I26" s="168" t="e">
        <f t="shared" si="5"/>
        <v>#N/A</v>
      </c>
      <c r="J26" s="23" t="e">
        <f t="shared" si="6"/>
        <v>#N/A</v>
      </c>
    </row>
    <row r="27" spans="1:10" x14ac:dyDescent="0.2">
      <c r="A27" s="160">
        <f>IF(EOMONTH(A26,12)&gt;Basis!$B$22,Basis!$B$22,EOMONTH(A26,12))</f>
        <v>46904</v>
      </c>
      <c r="B27" s="161" t="e">
        <f t="shared" si="1"/>
        <v>#N/A</v>
      </c>
      <c r="C27" s="154">
        <f>IF(EOMONTH(C26,12)&gt;Basis!$C$22,Basis!$C$22,EOMONTH(C26,12))</f>
        <v>46904</v>
      </c>
      <c r="D27" s="19" t="e">
        <f t="shared" si="2"/>
        <v>#N/A</v>
      </c>
      <c r="E27" s="19" t="e">
        <f t="shared" si="3"/>
        <v>#N/A</v>
      </c>
      <c r="F27" s="17">
        <f>IF(EOMONTH(F26,12)&gt;Basis!$D$22,Basis!$D$22,EOMONTH(F26,12))</f>
        <v>46904</v>
      </c>
      <c r="G27" s="165" t="e">
        <f t="shared" si="4"/>
        <v>#N/A</v>
      </c>
      <c r="H27" s="171" t="e">
        <f t="shared" si="0"/>
        <v>#N/A</v>
      </c>
      <c r="I27" s="168" t="e">
        <f t="shared" si="5"/>
        <v>#N/A</v>
      </c>
      <c r="J27" s="23" t="e">
        <f t="shared" si="6"/>
        <v>#N/A</v>
      </c>
    </row>
    <row r="28" spans="1:10" x14ac:dyDescent="0.2">
      <c r="A28" s="160">
        <f>IF(EOMONTH(A27,12)&gt;Basis!$B$22,Basis!$B$22,EOMONTH(A27,12))</f>
        <v>47118</v>
      </c>
      <c r="B28" s="161">
        <f t="shared" si="1"/>
        <v>0</v>
      </c>
      <c r="C28" s="154">
        <f>IF(EOMONTH(C27,12)&gt;Basis!$C$22,Basis!$C$22,EOMONTH(C27,12))</f>
        <v>47269</v>
      </c>
      <c r="D28" s="19" t="e">
        <f t="shared" si="2"/>
        <v>#N/A</v>
      </c>
      <c r="E28" s="19" t="e">
        <f t="shared" si="3"/>
        <v>#N/A</v>
      </c>
      <c r="F28" s="17">
        <f>IF(EOMONTH(F27,12)&gt;Basis!$D$22,Basis!$D$22,EOMONTH(F27,12))</f>
        <v>47269</v>
      </c>
      <c r="G28" s="165" t="e">
        <f t="shared" si="4"/>
        <v>#N/A</v>
      </c>
      <c r="H28" s="171" t="e">
        <f t="shared" si="0"/>
        <v>#N/A</v>
      </c>
      <c r="I28" s="168" t="e">
        <f t="shared" si="5"/>
        <v>#N/A</v>
      </c>
      <c r="J28" s="23" t="e">
        <f t="shared" si="6"/>
        <v>#N/A</v>
      </c>
    </row>
    <row r="29" spans="1:10" x14ac:dyDescent="0.2">
      <c r="A29" s="160">
        <f>IF(EOMONTH(A28,12)&gt;Basis!$B$22,Basis!$B$22,EOMONTH(A28,12))</f>
        <v>47118</v>
      </c>
      <c r="B29" s="161">
        <f t="shared" si="1"/>
        <v>0</v>
      </c>
      <c r="C29" s="154">
        <f>IF(EOMONTH(C28,12)&gt;Basis!$C$22,Basis!$C$22,EOMONTH(C28,12))</f>
        <v>47634</v>
      </c>
      <c r="D29" s="19" t="e">
        <f t="shared" si="2"/>
        <v>#N/A</v>
      </c>
      <c r="E29" s="19" t="e">
        <f t="shared" si="3"/>
        <v>#N/A</v>
      </c>
      <c r="F29" s="17">
        <f>IF(EOMONTH(F28,12)&gt;Basis!$D$22,Basis!$D$22,EOMONTH(F28,12))</f>
        <v>47634</v>
      </c>
      <c r="G29" s="165" t="e">
        <f t="shared" si="4"/>
        <v>#N/A</v>
      </c>
      <c r="H29" s="171" t="e">
        <f t="shared" si="0"/>
        <v>#N/A</v>
      </c>
      <c r="I29" s="168" t="e">
        <f t="shared" si="5"/>
        <v>#N/A</v>
      </c>
      <c r="J29" s="23" t="e">
        <f t="shared" si="6"/>
        <v>#N/A</v>
      </c>
    </row>
    <row r="30" spans="1:10" x14ac:dyDescent="0.2">
      <c r="A30" s="160">
        <f>IF(EOMONTH(A29,12)&gt;Basis!$B$22,Basis!$B$22,EOMONTH(A29,12))</f>
        <v>47118</v>
      </c>
      <c r="B30" s="161">
        <f t="shared" si="1"/>
        <v>0</v>
      </c>
      <c r="C30" s="154">
        <f>IF(EOMONTH(C29,12)&gt;Basis!$C$22,Basis!$C$22,EOMONTH(C29,12))</f>
        <v>47999</v>
      </c>
      <c r="D30" s="19" t="e">
        <f t="shared" si="2"/>
        <v>#N/A</v>
      </c>
      <c r="E30" s="19" t="e">
        <f t="shared" si="3"/>
        <v>#N/A</v>
      </c>
      <c r="F30" s="17">
        <f>IF(EOMONTH(F29,12)&gt;Basis!$D$22,Basis!$D$22,EOMONTH(F29,12))</f>
        <v>47999</v>
      </c>
      <c r="G30" s="165" t="e">
        <f t="shared" si="4"/>
        <v>#N/A</v>
      </c>
      <c r="H30" s="171" t="e">
        <f t="shared" si="0"/>
        <v>#N/A</v>
      </c>
      <c r="I30" s="168" t="e">
        <f t="shared" si="5"/>
        <v>#N/A</v>
      </c>
      <c r="J30" s="23" t="e">
        <f t="shared" si="6"/>
        <v>#N/A</v>
      </c>
    </row>
    <row r="31" spans="1:10" x14ac:dyDescent="0.2">
      <c r="A31" s="160">
        <f>IF(EOMONTH(A30,12)&gt;Basis!$B$22,Basis!$B$22,EOMONTH(A30,12))</f>
        <v>47118</v>
      </c>
      <c r="B31" s="161">
        <f t="shared" si="1"/>
        <v>0</v>
      </c>
      <c r="C31" s="154">
        <f>IF(EOMONTH(C30,12)&gt;Basis!$C$22,Basis!$C$22,EOMONTH(C30,12))</f>
        <v>48365</v>
      </c>
      <c r="D31" s="19" t="e">
        <f t="shared" si="2"/>
        <v>#N/A</v>
      </c>
      <c r="E31" s="19" t="e">
        <f t="shared" si="3"/>
        <v>#N/A</v>
      </c>
      <c r="F31" s="17">
        <f>IF(EOMONTH(F30,12)&gt;Basis!$D$22,Basis!$D$22,EOMONTH(F30,12))</f>
        <v>48365</v>
      </c>
      <c r="G31" s="165" t="e">
        <f t="shared" si="4"/>
        <v>#N/A</v>
      </c>
      <c r="H31" s="171" t="e">
        <f t="shared" si="0"/>
        <v>#N/A</v>
      </c>
      <c r="I31" s="168" t="e">
        <f t="shared" si="5"/>
        <v>#N/A</v>
      </c>
      <c r="J31" s="23" t="e">
        <f t="shared" si="6"/>
        <v>#N/A</v>
      </c>
    </row>
    <row r="32" spans="1:10" x14ac:dyDescent="0.2">
      <c r="A32" s="160">
        <f>IF(EOMONTH(A31,12)&gt;Basis!$B$22,Basis!$B$22,EOMONTH(A31,12))</f>
        <v>47118</v>
      </c>
      <c r="B32" s="161">
        <f t="shared" si="1"/>
        <v>0</v>
      </c>
      <c r="C32" s="154">
        <f>IF(EOMONTH(C31,12)&gt;Basis!$C$22,Basis!$C$22,EOMONTH(C31,12))</f>
        <v>48730</v>
      </c>
      <c r="D32" s="19" t="e">
        <f t="shared" si="2"/>
        <v>#N/A</v>
      </c>
      <c r="E32" s="19" t="e">
        <f t="shared" si="3"/>
        <v>#N/A</v>
      </c>
      <c r="F32" s="17">
        <f>IF(EOMONTH(F31,12)&gt;Basis!$D$22,Basis!$D$22,EOMONTH(F31,12))</f>
        <v>48730</v>
      </c>
      <c r="G32" s="165" t="e">
        <f t="shared" si="4"/>
        <v>#N/A</v>
      </c>
      <c r="H32" s="171" t="e">
        <f t="shared" si="0"/>
        <v>#N/A</v>
      </c>
      <c r="I32" s="168" t="e">
        <f t="shared" si="5"/>
        <v>#N/A</v>
      </c>
      <c r="J32" s="23" t="e">
        <f t="shared" si="6"/>
        <v>#N/A</v>
      </c>
    </row>
    <row r="33" spans="1:11" x14ac:dyDescent="0.2">
      <c r="A33" s="160">
        <f>IF(EOMONTH(A32,12)&gt;Basis!$B$22,Basis!$B$22,EOMONTH(A32,12))</f>
        <v>47118</v>
      </c>
      <c r="B33" s="161">
        <f t="shared" si="1"/>
        <v>0</v>
      </c>
      <c r="C33" s="154">
        <f>IF(EOMONTH(C32,12)&gt;Basis!$C$22,Basis!$C$22,EOMONTH(C32,12))</f>
        <v>49095</v>
      </c>
      <c r="D33" s="19" t="e">
        <f t="shared" si="2"/>
        <v>#N/A</v>
      </c>
      <c r="E33" s="19" t="e">
        <f t="shared" si="3"/>
        <v>#N/A</v>
      </c>
      <c r="F33" s="17">
        <f>IF(EOMONTH(F32,12)&gt;Basis!$D$22,Basis!$D$22,EOMONTH(F32,12))</f>
        <v>49095</v>
      </c>
      <c r="G33" s="165" t="e">
        <f t="shared" si="4"/>
        <v>#N/A</v>
      </c>
      <c r="H33" s="171" t="e">
        <f t="shared" si="0"/>
        <v>#N/A</v>
      </c>
      <c r="I33" s="168" t="e">
        <f t="shared" si="5"/>
        <v>#N/A</v>
      </c>
      <c r="J33" s="23" t="e">
        <f t="shared" si="6"/>
        <v>#N/A</v>
      </c>
    </row>
    <row r="34" spans="1:11" x14ac:dyDescent="0.2">
      <c r="A34" s="160">
        <f>IF(EOMONTH(A33,12)&gt;Basis!$B$22,Basis!$B$22,EOMONTH(A33,12))</f>
        <v>47118</v>
      </c>
      <c r="B34" s="161">
        <f t="shared" si="1"/>
        <v>0</v>
      </c>
      <c r="C34" s="154">
        <f>IF(EOMONTH(C33,12)&gt;Basis!$C$22,Basis!$C$22,EOMONTH(C33,12))</f>
        <v>49460</v>
      </c>
      <c r="D34" s="19" t="e">
        <f t="shared" si="2"/>
        <v>#N/A</v>
      </c>
      <c r="E34" s="19" t="e">
        <f t="shared" si="3"/>
        <v>#N/A</v>
      </c>
      <c r="F34" s="17">
        <f>IF(EOMONTH(F33,12)&gt;Basis!$D$22,Basis!$D$22,EOMONTH(F33,12))</f>
        <v>49309</v>
      </c>
      <c r="G34" s="165">
        <f t="shared" si="4"/>
        <v>0</v>
      </c>
      <c r="H34" s="171" t="e">
        <f t="shared" si="0"/>
        <v>#N/A</v>
      </c>
      <c r="I34" s="168" t="e">
        <f t="shared" si="5"/>
        <v>#N/A</v>
      </c>
      <c r="J34" s="23" t="e">
        <f t="shared" si="6"/>
        <v>#N/A</v>
      </c>
    </row>
    <row r="35" spans="1:11" x14ac:dyDescent="0.2">
      <c r="A35" s="160">
        <f>IF(EOMONTH(A34,12)&gt;Basis!$B$22,Basis!$B$22,EOMONTH(A34,12))</f>
        <v>47118</v>
      </c>
      <c r="B35" s="161">
        <f t="shared" si="1"/>
        <v>0</v>
      </c>
      <c r="C35" s="154">
        <f>IF(EOMONTH(C34,12)&gt;Basis!$C$22,Basis!$C$22,EOMONTH(C34,12))</f>
        <v>49490</v>
      </c>
      <c r="D35" s="19">
        <f t="shared" si="2"/>
        <v>0</v>
      </c>
      <c r="E35" s="19">
        <f t="shared" si="3"/>
        <v>0</v>
      </c>
      <c r="F35" s="17">
        <f>IF(EOMONTH(F34,12)&gt;Basis!$D$22,Basis!$D$22,EOMONTH(F34,12))</f>
        <v>49309</v>
      </c>
      <c r="G35" s="165">
        <f t="shared" si="4"/>
        <v>0</v>
      </c>
      <c r="H35" s="171">
        <f t="shared" si="0"/>
        <v>0</v>
      </c>
      <c r="I35" s="168" t="e">
        <f t="shared" si="5"/>
        <v>#N/A</v>
      </c>
      <c r="J35" s="23" t="e">
        <f t="shared" si="6"/>
        <v>#N/A</v>
      </c>
    </row>
    <row r="36" spans="1:11" x14ac:dyDescent="0.2">
      <c r="A36" s="160">
        <f>IF(EOMONTH(A35,12)&gt;Basis!$B$22,Basis!$B$22,EOMONTH(A35,12))</f>
        <v>47118</v>
      </c>
      <c r="B36" s="161">
        <f t="shared" si="1"/>
        <v>0</v>
      </c>
      <c r="C36" s="154">
        <f>IF(EOMONTH(C35,12)&gt;Basis!$C$22,Basis!$C$22,EOMONTH(C35,12))</f>
        <v>49490</v>
      </c>
      <c r="D36" s="19">
        <f t="shared" si="2"/>
        <v>0</v>
      </c>
      <c r="E36" s="19">
        <f t="shared" si="3"/>
        <v>0</v>
      </c>
      <c r="F36" s="17">
        <f>IF(EOMONTH(F35,12)&gt;Basis!$D$22,Basis!$D$22,EOMONTH(F35,12))</f>
        <v>49309</v>
      </c>
      <c r="G36" s="165">
        <f t="shared" si="4"/>
        <v>0</v>
      </c>
      <c r="H36" s="171">
        <f t="shared" si="0"/>
        <v>0</v>
      </c>
      <c r="I36" s="168" t="e">
        <f t="shared" si="5"/>
        <v>#N/A</v>
      </c>
      <c r="J36" s="23" t="e">
        <f t="shared" si="6"/>
        <v>#N/A</v>
      </c>
    </row>
    <row r="37" spans="1:11" x14ac:dyDescent="0.2">
      <c r="A37" s="160">
        <f>IF(EOMONTH(A36,12)&gt;Basis!$B$22,Basis!$B$22,EOMONTH(A36,12))</f>
        <v>47118</v>
      </c>
      <c r="B37" s="161">
        <f t="shared" si="1"/>
        <v>0</v>
      </c>
      <c r="C37" s="154">
        <f>IF(EOMONTH(C36,12)&gt;Basis!$C$22,Basis!$C$22,EOMONTH(C36,12))</f>
        <v>49490</v>
      </c>
      <c r="D37" s="19">
        <f t="shared" si="2"/>
        <v>0</v>
      </c>
      <c r="E37" s="19">
        <f t="shared" si="3"/>
        <v>0</v>
      </c>
      <c r="F37" s="17">
        <f>IF(EOMONTH(F36,12)&gt;Basis!$D$22,Basis!$D$22,EOMONTH(F36,12))</f>
        <v>49309</v>
      </c>
      <c r="G37" s="165">
        <f t="shared" si="4"/>
        <v>0</v>
      </c>
      <c r="H37" s="171">
        <f t="shared" si="0"/>
        <v>0</v>
      </c>
      <c r="I37" s="168" t="e">
        <f t="shared" si="5"/>
        <v>#N/A</v>
      </c>
      <c r="J37" s="23" t="e">
        <f t="shared" si="6"/>
        <v>#N/A</v>
      </c>
    </row>
    <row r="38" spans="1:11" x14ac:dyDescent="0.2">
      <c r="A38" s="160">
        <f>IF(EOMONTH(A37,12)&gt;Basis!$B$22,Basis!$B$22,EOMONTH(A37,12))</f>
        <v>47118</v>
      </c>
      <c r="B38" s="161">
        <f t="shared" si="1"/>
        <v>0</v>
      </c>
      <c r="C38" s="154">
        <f>IF(EOMONTH(C37,12)&gt;Basis!$C$22,Basis!$C$22,EOMONTH(C37,12))</f>
        <v>49490</v>
      </c>
      <c r="D38" s="19">
        <f t="shared" si="2"/>
        <v>0</v>
      </c>
      <c r="E38" s="19">
        <f t="shared" si="3"/>
        <v>0</v>
      </c>
      <c r="F38" s="17">
        <f>IF(EOMONTH(F37,12)&gt;Basis!$D$22,Basis!$D$22,EOMONTH(F37,12))</f>
        <v>49309</v>
      </c>
      <c r="G38" s="165">
        <f t="shared" si="4"/>
        <v>0</v>
      </c>
      <c r="H38" s="171">
        <f t="shared" si="0"/>
        <v>0</v>
      </c>
      <c r="I38" s="168" t="e">
        <f t="shared" si="5"/>
        <v>#N/A</v>
      </c>
      <c r="J38" s="23" t="e">
        <f t="shared" si="6"/>
        <v>#N/A</v>
      </c>
    </row>
    <row r="39" spans="1:11" x14ac:dyDescent="0.2">
      <c r="A39" s="162">
        <f>IF(EOMONTH(A38,12)&gt;Basis!$B$22,Basis!$B$22,EOMONTH(A38,12))</f>
        <v>47118</v>
      </c>
      <c r="B39" s="163" t="e">
        <f t="shared" si="1"/>
        <v>#N/A</v>
      </c>
      <c r="C39" s="155">
        <f>IF(EOMONTH(C38,12)&gt;Basis!$C$22,Basis!$C$22,EOMONTH(C38,12))</f>
        <v>49490</v>
      </c>
      <c r="D39" s="20" t="e">
        <f t="shared" si="2"/>
        <v>#N/A</v>
      </c>
      <c r="E39" s="20" t="e">
        <f t="shared" si="3"/>
        <v>#N/A</v>
      </c>
      <c r="F39" s="18">
        <f>IF(EOMONTH(F38,12)&gt;Basis!$D$22,Basis!$D$22,EOMONTH(F38,12))</f>
        <v>49309</v>
      </c>
      <c r="G39" s="166" t="e">
        <f t="shared" si="4"/>
        <v>#N/A</v>
      </c>
      <c r="H39" s="172" t="e">
        <f t="shared" si="0"/>
        <v>#N/A</v>
      </c>
      <c r="I39" s="168"/>
      <c r="J39" s="24" t="e">
        <f t="shared" si="6"/>
        <v>#N/A</v>
      </c>
    </row>
    <row r="40" spans="1:11" x14ac:dyDescent="0.2">
      <c r="A40" s="15"/>
      <c r="B40" s="15"/>
      <c r="C40" s="15"/>
      <c r="D40" s="16"/>
      <c r="E40" s="16"/>
      <c r="F40" s="15"/>
      <c r="G40" s="15"/>
      <c r="H40" s="44"/>
      <c r="I40" s="21" t="s">
        <v>5</v>
      </c>
      <c r="J40" s="46" t="e">
        <f>SUM(J15:J39)</f>
        <v>#N/A</v>
      </c>
      <c r="K40" s="45"/>
    </row>
    <row r="41" spans="1:11" x14ac:dyDescent="0.2">
      <c r="C41" s="11"/>
      <c r="I41" s="15"/>
      <c r="J41" s="15"/>
    </row>
    <row r="42" spans="1:11" x14ac:dyDescent="0.2">
      <c r="C42" s="11"/>
    </row>
    <row r="43" spans="1:11" x14ac:dyDescent="0.2">
      <c r="A43" s="11" t="s">
        <v>50</v>
      </c>
    </row>
    <row r="44" spans="1:11" x14ac:dyDescent="0.2">
      <c r="A44" s="11" t="s">
        <v>52</v>
      </c>
    </row>
    <row r="45" spans="1:11" x14ac:dyDescent="0.2">
      <c r="A45" s="11" t="s">
        <v>51</v>
      </c>
    </row>
    <row r="46" spans="1:11" x14ac:dyDescent="0.2">
      <c r="C46" s="11"/>
    </row>
    <row r="47" spans="1:11" x14ac:dyDescent="0.2">
      <c r="C47" s="11"/>
    </row>
    <row r="48" spans="1:11" x14ac:dyDescent="0.2">
      <c r="C48" s="11"/>
    </row>
    <row r="49" spans="3:3" x14ac:dyDescent="0.2">
      <c r="C49" s="11"/>
    </row>
    <row r="50" spans="3:3" x14ac:dyDescent="0.2">
      <c r="C50" s="11"/>
    </row>
    <row r="51" spans="3:3" x14ac:dyDescent="0.2">
      <c r="C51" s="11"/>
    </row>
    <row r="52" spans="3:3" x14ac:dyDescent="0.2">
      <c r="C52" s="11"/>
    </row>
    <row r="53" spans="3:3" x14ac:dyDescent="0.2">
      <c r="C53" s="11"/>
    </row>
    <row r="54" spans="3:3" x14ac:dyDescent="0.2">
      <c r="C54" s="11"/>
    </row>
    <row r="55" spans="3:3" x14ac:dyDescent="0.2">
      <c r="C55" s="11"/>
    </row>
    <row r="56" spans="3:3" x14ac:dyDescent="0.2">
      <c r="C56" s="11"/>
    </row>
  </sheetData>
  <mergeCells count="3">
    <mergeCell ref="A13:B13"/>
    <mergeCell ref="C13:E13"/>
    <mergeCell ref="F13:G13"/>
  </mergeCells>
  <pageMargins left="0.7" right="0.7" top="0.75" bottom="0.75" header="0.3" footer="0.3"/>
  <pageSetup paperSize="9" scale="86" orientation="landscape" r:id="rId1"/>
  <headerFooter>
    <oddFooter>&amp;L&amp;"Arial,Regular"&amp;8ear &amp;D &amp;T
Lane Clark &amp;&amp; Peacock Page &amp;P of &amp;N&amp;R&amp;"Arial,Regular"&amp;8&amp;Z&amp;F[&amp;A]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4"/>
  <sheetViews>
    <sheetView workbookViewId="0">
      <selection activeCell="A60" sqref="A60:D60"/>
    </sheetView>
  </sheetViews>
  <sheetFormatPr defaultColWidth="9.140625" defaultRowHeight="12.75" x14ac:dyDescent="0.2"/>
  <cols>
    <col min="1" max="1" width="25.7109375" style="109" bestFit="1" customWidth="1"/>
    <col min="2" max="2" width="14.5703125" style="109" bestFit="1" customWidth="1"/>
    <col min="3" max="3" width="14" style="109" customWidth="1"/>
    <col min="4" max="4" width="14.140625" style="109" customWidth="1"/>
    <col min="5" max="16384" width="9.140625" style="109"/>
  </cols>
  <sheetData>
    <row r="1" spans="1:5" ht="14.25" x14ac:dyDescent="0.2">
      <c r="A1" s="111" t="s">
        <v>92</v>
      </c>
    </row>
    <row r="2" spans="1:5" x14ac:dyDescent="0.2">
      <c r="A2" s="112" t="s">
        <v>94</v>
      </c>
    </row>
    <row r="3" spans="1:5" ht="39" customHeight="1" x14ac:dyDescent="0.2">
      <c r="B3" s="112"/>
      <c r="C3" s="115" t="s">
        <v>93</v>
      </c>
      <c r="D3" s="115" t="s">
        <v>97</v>
      </c>
      <c r="E3" s="116"/>
    </row>
    <row r="4" spans="1:5" x14ac:dyDescent="0.2">
      <c r="B4" s="109" t="s">
        <v>0</v>
      </c>
      <c r="C4" s="109" t="s">
        <v>96</v>
      </c>
      <c r="D4" s="109" t="s">
        <v>95</v>
      </c>
    </row>
    <row r="5" spans="1:5" x14ac:dyDescent="0.2">
      <c r="B5" s="113">
        <v>41455</v>
      </c>
      <c r="C5" s="110">
        <v>4.1000000000000002E-2</v>
      </c>
      <c r="D5" s="114">
        <v>0.03</v>
      </c>
      <c r="E5" s="110"/>
    </row>
    <row r="6" spans="1:5" x14ac:dyDescent="0.2">
      <c r="B6" s="113">
        <f>EOMONTH(B5,1)</f>
        <v>41486</v>
      </c>
      <c r="C6" s="110">
        <v>3.7999999999999999E-2</v>
      </c>
      <c r="D6" s="114">
        <v>3.1E-2</v>
      </c>
      <c r="E6" s="110"/>
    </row>
    <row r="7" spans="1:5" x14ac:dyDescent="0.2">
      <c r="B7" s="113">
        <f t="shared" ref="B7:B39" si="0">EOMONTH(B6,1)</f>
        <v>41517</v>
      </c>
      <c r="C7" s="110">
        <v>3.9E-2</v>
      </c>
      <c r="D7" s="114">
        <v>3.2000000000000001E-2</v>
      </c>
      <c r="E7" s="110"/>
    </row>
    <row r="8" spans="1:5" x14ac:dyDescent="0.2">
      <c r="B8" s="113">
        <f t="shared" si="0"/>
        <v>41547</v>
      </c>
      <c r="C8" s="110">
        <v>0.04</v>
      </c>
      <c r="D8" s="114">
        <v>3.1E-2</v>
      </c>
      <c r="E8" s="110"/>
    </row>
    <row r="9" spans="1:5" x14ac:dyDescent="0.2">
      <c r="B9" s="113">
        <f t="shared" si="0"/>
        <v>41578</v>
      </c>
      <c r="C9" s="110">
        <v>3.7999999999999999E-2</v>
      </c>
      <c r="D9" s="114">
        <v>3.1E-2</v>
      </c>
      <c r="E9" s="110"/>
    </row>
    <row r="10" spans="1:5" x14ac:dyDescent="0.2">
      <c r="B10" s="113">
        <f t="shared" si="0"/>
        <v>41608</v>
      </c>
      <c r="C10" s="110">
        <v>0.04</v>
      </c>
      <c r="D10" s="114">
        <v>3.2000000000000001E-2</v>
      </c>
      <c r="E10" s="110"/>
    </row>
    <row r="11" spans="1:5" x14ac:dyDescent="0.2">
      <c r="B11" s="113">
        <f t="shared" si="0"/>
        <v>41639</v>
      </c>
      <c r="C11" s="110">
        <v>4.2000000000000003E-2</v>
      </c>
      <c r="D11" s="114">
        <v>3.3000000000000002E-2</v>
      </c>
      <c r="E11" s="110"/>
    </row>
    <row r="12" spans="1:5" x14ac:dyDescent="0.2">
      <c r="B12" s="113">
        <f t="shared" si="0"/>
        <v>41670</v>
      </c>
      <c r="C12" s="110">
        <v>0.04</v>
      </c>
      <c r="D12" s="114">
        <v>3.1E-2</v>
      </c>
      <c r="E12" s="110"/>
    </row>
    <row r="13" spans="1:5" x14ac:dyDescent="0.2">
      <c r="B13" s="113">
        <f t="shared" si="0"/>
        <v>41698</v>
      </c>
      <c r="C13" s="110">
        <v>0.04</v>
      </c>
      <c r="D13" s="114">
        <v>3.1E-2</v>
      </c>
      <c r="E13" s="110"/>
    </row>
    <row r="14" spans="1:5" x14ac:dyDescent="0.2">
      <c r="B14" s="113">
        <f t="shared" si="0"/>
        <v>41729</v>
      </c>
      <c r="C14" s="110">
        <v>0.04</v>
      </c>
      <c r="D14" s="114">
        <v>3.2000000000000001E-2</v>
      </c>
      <c r="E14" s="110"/>
    </row>
    <row r="15" spans="1:5" x14ac:dyDescent="0.2">
      <c r="B15" s="113">
        <f t="shared" si="0"/>
        <v>41759</v>
      </c>
      <c r="C15" s="110">
        <v>0.04</v>
      </c>
      <c r="D15" s="114">
        <v>3.2000000000000001E-2</v>
      </c>
      <c r="E15" s="110"/>
    </row>
    <row r="16" spans="1:5" x14ac:dyDescent="0.2">
      <c r="B16" s="113">
        <f t="shared" si="0"/>
        <v>41790</v>
      </c>
      <c r="C16" s="110">
        <v>3.7999999999999999E-2</v>
      </c>
      <c r="D16" s="114">
        <v>3.1E-2</v>
      </c>
      <c r="E16" s="110"/>
    </row>
    <row r="17" spans="2:5" x14ac:dyDescent="0.2">
      <c r="B17" s="113">
        <f t="shared" si="0"/>
        <v>41820</v>
      </c>
      <c r="C17" s="110">
        <v>0.04</v>
      </c>
      <c r="D17" s="114">
        <v>3.1E-2</v>
      </c>
      <c r="E17" s="110"/>
    </row>
    <row r="18" spans="2:5" x14ac:dyDescent="0.2">
      <c r="B18" s="113">
        <f t="shared" si="0"/>
        <v>41851</v>
      </c>
      <c r="C18" s="110">
        <v>3.9E-2</v>
      </c>
      <c r="D18" s="114">
        <v>3.1E-2</v>
      </c>
      <c r="E18" s="110"/>
    </row>
    <row r="19" spans="2:5" x14ac:dyDescent="0.2">
      <c r="B19" s="113">
        <f t="shared" si="0"/>
        <v>41882</v>
      </c>
      <c r="C19" s="110">
        <v>3.5999999999999997E-2</v>
      </c>
      <c r="D19" s="114">
        <v>0.03</v>
      </c>
      <c r="E19" s="110"/>
    </row>
    <row r="20" spans="2:5" x14ac:dyDescent="0.2">
      <c r="B20" s="113">
        <f t="shared" si="0"/>
        <v>41912</v>
      </c>
      <c r="C20" s="110">
        <v>3.6999999999999998E-2</v>
      </c>
      <c r="D20" s="114">
        <v>0.03</v>
      </c>
      <c r="E20" s="110"/>
    </row>
    <row r="21" spans="2:5" x14ac:dyDescent="0.2">
      <c r="B21" s="113">
        <f t="shared" si="0"/>
        <v>41943</v>
      </c>
      <c r="C21" s="110">
        <v>3.5999999999999997E-2</v>
      </c>
      <c r="D21" s="114">
        <v>2.9000000000000001E-2</v>
      </c>
      <c r="E21" s="110"/>
    </row>
    <row r="22" spans="2:5" x14ac:dyDescent="0.2">
      <c r="B22" s="113">
        <f t="shared" si="0"/>
        <v>41973</v>
      </c>
      <c r="C22" s="110">
        <v>3.3000000000000002E-2</v>
      </c>
      <c r="D22" s="114">
        <v>2.9000000000000001E-2</v>
      </c>
      <c r="E22" s="110"/>
    </row>
    <row r="23" spans="2:5" x14ac:dyDescent="0.2">
      <c r="B23" s="113">
        <f t="shared" si="0"/>
        <v>42004</v>
      </c>
      <c r="C23" s="110">
        <v>3.2000000000000001E-2</v>
      </c>
      <c r="D23" s="114">
        <v>2.8000000000000001E-2</v>
      </c>
      <c r="E23" s="110"/>
    </row>
    <row r="24" spans="2:5" x14ac:dyDescent="0.2">
      <c r="B24" s="113">
        <f t="shared" si="0"/>
        <v>42035</v>
      </c>
      <c r="C24" s="110">
        <v>2.7E-2</v>
      </c>
      <c r="D24" s="114">
        <v>2.4E-2</v>
      </c>
      <c r="E24" s="110"/>
    </row>
    <row r="25" spans="2:5" x14ac:dyDescent="0.2">
      <c r="B25" s="113">
        <f t="shared" si="0"/>
        <v>42063</v>
      </c>
      <c r="C25" s="110">
        <v>0.03</v>
      </c>
      <c r="D25" s="114">
        <v>2.8000000000000001E-2</v>
      </c>
      <c r="E25" s="110"/>
    </row>
    <row r="26" spans="2:5" x14ac:dyDescent="0.2">
      <c r="B26" s="113">
        <f t="shared" si="0"/>
        <v>42094</v>
      </c>
      <c r="C26" s="110">
        <v>2.9000000000000001E-2</v>
      </c>
      <c r="D26" s="114">
        <v>2.7E-2</v>
      </c>
      <c r="E26" s="110"/>
    </row>
    <row r="27" spans="2:5" x14ac:dyDescent="0.2">
      <c r="B27" s="113">
        <f t="shared" si="0"/>
        <v>42124</v>
      </c>
      <c r="C27" s="110">
        <v>3.1E-2</v>
      </c>
      <c r="D27" s="114">
        <v>2.9000000000000001E-2</v>
      </c>
      <c r="E27" s="110"/>
    </row>
    <row r="28" spans="2:5" x14ac:dyDescent="0.2">
      <c r="B28" s="113">
        <f t="shared" si="0"/>
        <v>42155</v>
      </c>
      <c r="C28" s="110">
        <v>3.1E-2</v>
      </c>
      <c r="D28" s="114">
        <v>2.8000000000000001E-2</v>
      </c>
      <c r="E28" s="110"/>
    </row>
    <row r="29" spans="2:5" x14ac:dyDescent="0.2">
      <c r="B29" s="113">
        <f t="shared" si="0"/>
        <v>42185</v>
      </c>
      <c r="C29" s="110">
        <v>3.4000000000000002E-2</v>
      </c>
      <c r="D29" s="114">
        <v>2.9000000000000001E-2</v>
      </c>
      <c r="E29" s="110"/>
    </row>
    <row r="30" spans="2:5" x14ac:dyDescent="0.2">
      <c r="B30" s="113">
        <f t="shared" si="0"/>
        <v>42216</v>
      </c>
      <c r="C30" s="110">
        <v>3.3000000000000002E-2</v>
      </c>
      <c r="D30" s="114">
        <v>2.9000000000000001E-2</v>
      </c>
      <c r="E30" s="110"/>
    </row>
    <row r="31" spans="2:5" x14ac:dyDescent="0.2">
      <c r="B31" s="113">
        <f t="shared" si="0"/>
        <v>42247</v>
      </c>
      <c r="C31" s="110">
        <v>3.4000000000000002E-2</v>
      </c>
      <c r="D31" s="114">
        <v>2.8000000000000001E-2</v>
      </c>
      <c r="E31" s="110"/>
    </row>
    <row r="32" spans="2:5" x14ac:dyDescent="0.2">
      <c r="B32" s="113">
        <f t="shared" si="0"/>
        <v>42277</v>
      </c>
      <c r="C32" s="110">
        <v>3.3000000000000002E-2</v>
      </c>
      <c r="D32" s="114">
        <v>2.5999999999999999E-2</v>
      </c>
      <c r="E32" s="110"/>
    </row>
    <row r="33" spans="1:5" x14ac:dyDescent="0.2">
      <c r="B33" s="113">
        <f t="shared" si="0"/>
        <v>42308</v>
      </c>
      <c r="C33" s="110">
        <v>3.4000000000000002E-2</v>
      </c>
      <c r="D33" s="114">
        <v>2.7E-2</v>
      </c>
      <c r="E33" s="110"/>
    </row>
    <row r="34" spans="1:5" x14ac:dyDescent="0.2">
      <c r="B34" s="113">
        <f t="shared" si="0"/>
        <v>42338</v>
      </c>
      <c r="C34" s="110">
        <v>3.3000000000000002E-2</v>
      </c>
      <c r="D34" s="114">
        <v>2.8000000000000001E-2</v>
      </c>
      <c r="E34" s="110"/>
    </row>
    <row r="35" spans="1:5" x14ac:dyDescent="0.2">
      <c r="B35" s="113">
        <f t="shared" si="0"/>
        <v>42369</v>
      </c>
      <c r="C35" s="110">
        <v>3.3000000000000002E-2</v>
      </c>
      <c r="D35" s="114">
        <v>2.5999999999999999E-2</v>
      </c>
      <c r="E35" s="110"/>
    </row>
    <row r="36" spans="1:5" x14ac:dyDescent="0.2">
      <c r="B36" s="113">
        <f t="shared" si="0"/>
        <v>42400</v>
      </c>
      <c r="C36" s="110">
        <v>3.2000000000000001E-2</v>
      </c>
      <c r="D36" s="114">
        <v>2.5999999999999999E-2</v>
      </c>
      <c r="E36" s="110"/>
    </row>
    <row r="37" spans="1:5" x14ac:dyDescent="0.2">
      <c r="B37" s="113">
        <f t="shared" si="0"/>
        <v>42429</v>
      </c>
      <c r="C37" s="110">
        <v>3.2000000000000001E-2</v>
      </c>
      <c r="D37" s="114">
        <v>2.5000000000000001E-2</v>
      </c>
      <c r="E37" s="110"/>
    </row>
    <row r="38" spans="1:5" x14ac:dyDescent="0.2">
      <c r="B38" s="113">
        <f t="shared" si="0"/>
        <v>42460</v>
      </c>
      <c r="C38" s="110">
        <v>0.03</v>
      </c>
      <c r="D38" s="114">
        <v>2.5999999999999999E-2</v>
      </c>
      <c r="E38" s="110"/>
    </row>
    <row r="39" spans="1:5" x14ac:dyDescent="0.2">
      <c r="B39" s="113">
        <f t="shared" si="0"/>
        <v>42490</v>
      </c>
      <c r="C39" s="110">
        <v>0.03</v>
      </c>
      <c r="D39" s="114">
        <v>2.5999999999999999E-2</v>
      </c>
      <c r="E39" s="110"/>
    </row>
    <row r="40" spans="1:5" x14ac:dyDescent="0.2">
      <c r="A40" s="113"/>
    </row>
    <row r="41" spans="1:5" x14ac:dyDescent="0.2">
      <c r="A41" s="113"/>
    </row>
    <row r="42" spans="1:5" x14ac:dyDescent="0.2">
      <c r="A42" s="113"/>
    </row>
    <row r="43" spans="1:5" x14ac:dyDescent="0.2">
      <c r="A43" s="113"/>
    </row>
    <row r="44" spans="1:5" x14ac:dyDescent="0.2">
      <c r="A44" s="113"/>
    </row>
  </sheetData>
  <pageMargins left="0.7" right="0.7" top="0.75" bottom="0.75" header="0.3" footer="0.3"/>
  <pageSetup paperSize="9" orientation="portrait" r:id="rId1"/>
  <headerFooter>
    <oddFooter>&amp;L&amp;"Arial,Regular"&amp;8ear &amp;D &amp;T
Lane Clark &amp;&amp; Peacock Page &amp;P of &amp;N&amp;R&amp;"Arial,Regular"&amp;8&amp;Z&amp;F[&amp;A]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3"/>
  <sheetViews>
    <sheetView workbookViewId="0">
      <selection activeCell="A60" sqref="A60:D60"/>
    </sheetView>
  </sheetViews>
  <sheetFormatPr defaultRowHeight="12.75" x14ac:dyDescent="0.2"/>
  <cols>
    <col min="1" max="3" width="12.85546875" customWidth="1"/>
  </cols>
  <sheetData>
    <row r="1" spans="1:3" x14ac:dyDescent="0.2">
      <c r="A1" s="150" t="s">
        <v>139</v>
      </c>
      <c r="B1" s="150" t="s">
        <v>27</v>
      </c>
      <c r="C1" s="150" t="s">
        <v>141</v>
      </c>
    </row>
    <row r="2" spans="1:3" x14ac:dyDescent="0.2">
      <c r="A2">
        <v>1.4</v>
      </c>
      <c r="B2" s="149">
        <v>43123</v>
      </c>
      <c r="C2" t="s">
        <v>140</v>
      </c>
    </row>
    <row r="3" spans="1:3" x14ac:dyDescent="0.2">
      <c r="A3" s="151" t="s">
        <v>143</v>
      </c>
      <c r="B3" s="149">
        <v>43216</v>
      </c>
      <c r="C3" t="s">
        <v>144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27</vt:i4>
      </vt:variant>
    </vt:vector>
  </HeadingPairs>
  <TitlesOfParts>
    <vt:vector size="36" baseType="lpstr">
      <vt:lpstr>Instructions</vt:lpstr>
      <vt:lpstr>Inputs</vt:lpstr>
      <vt:lpstr>Disclosure</vt:lpstr>
      <vt:lpstr>Basis</vt:lpstr>
      <vt:lpstr>Calcs - accounting date</vt:lpstr>
      <vt:lpstr>Calcs - accounting date prev</vt:lpstr>
      <vt:lpstr>Calcs - accounting date prev2</vt:lpstr>
      <vt:lpstr>Yields</vt:lpstr>
      <vt:lpstr>Version history</vt:lpstr>
      <vt:lpstr>Accounting_date</vt:lpstr>
      <vt:lpstr>Accounting_date_prev</vt:lpstr>
      <vt:lpstr>Accounting_date_prev2</vt:lpstr>
      <vt:lpstr>Current_year_DRCs</vt:lpstr>
      <vt:lpstr>DR</vt:lpstr>
      <vt:lpstr>DR_prev</vt:lpstr>
      <vt:lpstr>DR_prev2</vt:lpstr>
      <vt:lpstr>DR_yields</vt:lpstr>
      <vt:lpstr>first_month_DRCs</vt:lpstr>
      <vt:lpstr>first_month_prevyr</vt:lpstr>
      <vt:lpstr>first_month_prevyr2</vt:lpstr>
      <vt:lpstr>Inflation</vt:lpstr>
      <vt:lpstr>Inflation_prev</vt:lpstr>
      <vt:lpstr>Inflation_prev2</vt:lpstr>
      <vt:lpstr>Inflation_yields</vt:lpstr>
      <vt:lpstr>Liability</vt:lpstr>
      <vt:lpstr>Liability_prev</vt:lpstr>
      <vt:lpstr>Liability_prev2</vt:lpstr>
      <vt:lpstr>percentage_cont</vt:lpstr>
      <vt:lpstr>Prev_year_DRCs</vt:lpstr>
      <vt:lpstr>'Calcs - accounting date'!Print_Area</vt:lpstr>
      <vt:lpstr>'Calcs - accounting date prev'!Print_Area</vt:lpstr>
      <vt:lpstr>'Calcs - accounting date prev2'!Print_Area</vt:lpstr>
      <vt:lpstr>Disclosure!Print_Area</vt:lpstr>
      <vt:lpstr>Inputs!Print_Area</vt:lpstr>
      <vt:lpstr>Instructions!Print_Area</vt:lpstr>
      <vt:lpstr>Yield_dates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Lucie Harris (LCP)</dc:creator>
  <cp:lastModifiedBy>Lucie Harris</cp:lastModifiedBy>
  <cp:lastPrinted>2018-04-26T15:20:06Z</cp:lastPrinted>
  <dcterms:created xsi:type="dcterms:W3CDTF">2011-10-12T08:52:50Z</dcterms:created>
  <dcterms:modified xsi:type="dcterms:W3CDTF">2019-01-17T16:16:01Z</dcterms:modified>
</cp:coreProperties>
</file>